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nika.dambrauskiene\Desktop\TARYBAI\Kontoroje reg\"/>
    </mc:Choice>
  </mc:AlternateContent>
  <bookViews>
    <workbookView xWindow="0" yWindow="0" windowWidth="28800" windowHeight="12210" tabRatio="1000"/>
  </bookViews>
  <sheets>
    <sheet name="1 lentelė 002 pr. projektas" sheetId="40" r:id="rId1"/>
    <sheet name="2 lentelė_002 pr. priem." sheetId="36" r:id="rId2"/>
    <sheet name="3 lentelė_architekt" sheetId="34" r:id="rId3"/>
    <sheet name="4 lentelė_ Soc veikla" sheetId="24" r:id="rId4"/>
    <sheet name="5 lentel_Kultūros vertybių aps." sheetId="13" r:id="rId5"/>
    <sheet name="6 lentelė_008 programos" sheetId="37" r:id="rId6"/>
    <sheet name="7 lentelė_valstyb. funkcijoms" sheetId="43" r:id="rId7"/>
    <sheet name="8 lentelė_ pajamos, likučiai" sheetId="39" r:id="rId8"/>
    <sheet name="9 lentelė_Darbo užmokestis (2)" sheetId="45" r:id="rId9"/>
    <sheet name="10 lentelė_2025-2026m." sheetId="44" r:id="rId10"/>
  </sheets>
  <definedNames>
    <definedName name="_xlnm._FilterDatabase" localSheetId="0" hidden="1">'1 lentelė 002 pr. projektas'!$G$1:$H$416</definedName>
    <definedName name="_xlnm.Print_Titles" localSheetId="7">'8 lentelė_ pajamos, likučiai'!$3:$5</definedName>
  </definedNames>
  <calcPr calcId="162913"/>
  <extLst>
    <ext uri="GoogleSheetsCustomDataVersion2">
      <go:sheetsCustomData xmlns:go="http://customooxmlschemas.google.com/" r:id="rId16" roundtripDataChecksum="b2KWt0/m+Hy1qBZB/tgxCxN79E2+I/GbRuJnv1Eb+wQ="/>
    </ext>
  </extLst>
</workbook>
</file>

<file path=xl/calcChain.xml><?xml version="1.0" encoding="utf-8"?>
<calcChain xmlns="http://schemas.openxmlformats.org/spreadsheetml/2006/main">
  <c r="G41" i="45" l="1"/>
  <c r="F41" i="45"/>
  <c r="E41" i="45"/>
  <c r="D41" i="45"/>
  <c r="C41" i="45"/>
  <c r="B41" i="45"/>
  <c r="H40" i="45"/>
  <c r="H39" i="45"/>
  <c r="H38" i="45"/>
  <c r="H37" i="45"/>
  <c r="H36" i="45"/>
  <c r="H35" i="45"/>
  <c r="H34" i="45"/>
  <c r="H33" i="45"/>
  <c r="H32" i="45"/>
  <c r="H31" i="45"/>
  <c r="H30" i="45"/>
  <c r="H29" i="45"/>
  <c r="H28" i="45"/>
  <c r="H27" i="45"/>
  <c r="H26" i="45"/>
  <c r="H25" i="45"/>
  <c r="H24" i="45"/>
  <c r="H23" i="45"/>
  <c r="H22" i="45"/>
  <c r="H21" i="45"/>
  <c r="H20" i="45"/>
  <c r="H19" i="45"/>
  <c r="H18" i="45"/>
  <c r="H17" i="45"/>
  <c r="H16" i="45"/>
  <c r="H15" i="45"/>
  <c r="H14" i="45"/>
  <c r="H13" i="45"/>
  <c r="H12" i="45"/>
  <c r="H11" i="45"/>
  <c r="H10" i="45"/>
  <c r="H9" i="45"/>
  <c r="H8" i="45"/>
  <c r="H41" i="45" s="1"/>
  <c r="H7" i="45"/>
  <c r="H6" i="45"/>
  <c r="H5" i="45"/>
  <c r="F429" i="44" l="1"/>
  <c r="B429" i="44"/>
  <c r="C429" i="44"/>
  <c r="D429" i="44"/>
  <c r="E429" i="44"/>
  <c r="B427" i="44"/>
  <c r="C427" i="44"/>
  <c r="D427" i="44"/>
  <c r="E427" i="44"/>
  <c r="H405" i="44"/>
  <c r="B405" i="44"/>
  <c r="B403" i="44"/>
  <c r="I405" i="44" l="1"/>
  <c r="H40" i="39"/>
  <c r="G40" i="39"/>
  <c r="I40" i="39" s="1"/>
  <c r="C40" i="39"/>
  <c r="C14" i="13" l="1"/>
  <c r="E594" i="44" l="1"/>
  <c r="D594" i="44"/>
  <c r="C594" i="44"/>
  <c r="E593" i="44"/>
  <c r="D593" i="44"/>
  <c r="C593" i="44"/>
  <c r="F587" i="44"/>
  <c r="E587" i="44"/>
  <c r="D587" i="44"/>
  <c r="C587" i="44"/>
  <c r="E585" i="44"/>
  <c r="D585" i="44"/>
  <c r="C585" i="44"/>
  <c r="H583" i="44"/>
  <c r="B583" i="44"/>
  <c r="B581" i="44"/>
  <c r="H579" i="44"/>
  <c r="B579" i="44"/>
  <c r="B577" i="44"/>
  <c r="H575" i="44"/>
  <c r="B575" i="44"/>
  <c r="B573" i="44"/>
  <c r="H571" i="44"/>
  <c r="B571" i="44"/>
  <c r="B569" i="44"/>
  <c r="H567" i="44"/>
  <c r="B567" i="44"/>
  <c r="B565" i="44"/>
  <c r="H563" i="44"/>
  <c r="B563" i="44"/>
  <c r="B561" i="44"/>
  <c r="F557" i="44"/>
  <c r="E557" i="44"/>
  <c r="D557" i="44"/>
  <c r="C557" i="44"/>
  <c r="G557" i="44" s="1"/>
  <c r="E555" i="44"/>
  <c r="D555" i="44"/>
  <c r="C555" i="44"/>
  <c r="H553" i="44"/>
  <c r="B553" i="44"/>
  <c r="B551" i="44"/>
  <c r="H549" i="44"/>
  <c r="B549" i="44"/>
  <c r="B547" i="44"/>
  <c r="H545" i="44"/>
  <c r="B545" i="44"/>
  <c r="B543" i="44"/>
  <c r="H541" i="44"/>
  <c r="B541" i="44"/>
  <c r="B539" i="44"/>
  <c r="H537" i="44"/>
  <c r="B537" i="44"/>
  <c r="B535" i="44"/>
  <c r="H533" i="44"/>
  <c r="B533" i="44"/>
  <c r="B531" i="44"/>
  <c r="H529" i="44"/>
  <c r="B529" i="44"/>
  <c r="B527" i="44"/>
  <c r="H525" i="44"/>
  <c r="G525" i="44"/>
  <c r="B525" i="44"/>
  <c r="B523" i="44"/>
  <c r="H521" i="44"/>
  <c r="G521" i="44"/>
  <c r="B521" i="44"/>
  <c r="B519" i="44"/>
  <c r="H516" i="44"/>
  <c r="G516" i="44"/>
  <c r="B516" i="44"/>
  <c r="B514" i="44"/>
  <c r="H512" i="44"/>
  <c r="B512" i="44"/>
  <c r="B510" i="44"/>
  <c r="B508" i="44"/>
  <c r="B506" i="44"/>
  <c r="H504" i="44"/>
  <c r="G504" i="44"/>
  <c r="B504" i="44"/>
  <c r="B502" i="44"/>
  <c r="H500" i="44"/>
  <c r="B500" i="44"/>
  <c r="B498" i="44"/>
  <c r="H495" i="44"/>
  <c r="B495" i="44"/>
  <c r="B492" i="44"/>
  <c r="H488" i="44"/>
  <c r="B488" i="44"/>
  <c r="B485" i="44"/>
  <c r="H481" i="44"/>
  <c r="B481" i="44"/>
  <c r="B479" i="44"/>
  <c r="H476" i="44"/>
  <c r="B476" i="44"/>
  <c r="B474" i="44"/>
  <c r="H470" i="44"/>
  <c r="B470" i="44"/>
  <c r="B466" i="44"/>
  <c r="H463" i="44"/>
  <c r="B463" i="44"/>
  <c r="B460" i="44"/>
  <c r="H458" i="44"/>
  <c r="B458" i="44"/>
  <c r="B456" i="44"/>
  <c r="H453" i="44"/>
  <c r="B453" i="44"/>
  <c r="B451" i="44"/>
  <c r="H448" i="44"/>
  <c r="B448" i="44"/>
  <c r="B446" i="44"/>
  <c r="H444" i="44"/>
  <c r="B444" i="44"/>
  <c r="B442" i="44"/>
  <c r="H436" i="44"/>
  <c r="B436" i="44"/>
  <c r="B433" i="44"/>
  <c r="H425" i="44"/>
  <c r="B425" i="44"/>
  <c r="B423" i="44"/>
  <c r="H421" i="44"/>
  <c r="B421" i="44"/>
  <c r="B419" i="44"/>
  <c r="H417" i="44"/>
  <c r="B417" i="44"/>
  <c r="B415" i="44"/>
  <c r="H413" i="44"/>
  <c r="B413" i="44"/>
  <c r="B411" i="44"/>
  <c r="H409" i="44"/>
  <c r="B409" i="44"/>
  <c r="B407" i="44"/>
  <c r="H400" i="44"/>
  <c r="G400" i="44"/>
  <c r="B400" i="44"/>
  <c r="B398" i="44"/>
  <c r="H396" i="44"/>
  <c r="G396" i="44"/>
  <c r="B396" i="44"/>
  <c r="B394" i="44"/>
  <c r="H391" i="44"/>
  <c r="G391" i="44"/>
  <c r="B391" i="44"/>
  <c r="B389" i="44"/>
  <c r="H386" i="44"/>
  <c r="G386" i="44"/>
  <c r="B386" i="44"/>
  <c r="B384" i="44"/>
  <c r="H381" i="44"/>
  <c r="G381" i="44"/>
  <c r="B381" i="44"/>
  <c r="B379" i="44"/>
  <c r="H377" i="44"/>
  <c r="B377" i="44"/>
  <c r="B375" i="44"/>
  <c r="H370" i="44"/>
  <c r="G370" i="44"/>
  <c r="B370" i="44"/>
  <c r="B366" i="44"/>
  <c r="H362" i="44"/>
  <c r="G362" i="44"/>
  <c r="B362" i="44"/>
  <c r="B360" i="44"/>
  <c r="H355" i="44"/>
  <c r="G355" i="44"/>
  <c r="B355" i="44"/>
  <c r="B353" i="44"/>
  <c r="I355" i="44" s="1"/>
  <c r="F349" i="44"/>
  <c r="E349" i="44"/>
  <c r="D349" i="44"/>
  <c r="C349" i="44"/>
  <c r="E347" i="44"/>
  <c r="B347" i="44" s="1"/>
  <c r="H345" i="44"/>
  <c r="B345" i="44"/>
  <c r="B343" i="44"/>
  <c r="H341" i="44"/>
  <c r="B341" i="44"/>
  <c r="B339" i="44"/>
  <c r="F335" i="44"/>
  <c r="E335" i="44"/>
  <c r="D335" i="44"/>
  <c r="C335" i="44"/>
  <c r="E333" i="44"/>
  <c r="D333" i="44"/>
  <c r="C333" i="44"/>
  <c r="H330" i="44"/>
  <c r="B330" i="44"/>
  <c r="B328" i="44"/>
  <c r="H326" i="44"/>
  <c r="B326" i="44"/>
  <c r="B324" i="44"/>
  <c r="H321" i="44"/>
  <c r="B321" i="44"/>
  <c r="B319" i="44"/>
  <c r="H317" i="44"/>
  <c r="B317" i="44"/>
  <c r="B315" i="44"/>
  <c r="H313" i="44"/>
  <c r="B313" i="44"/>
  <c r="B311" i="44"/>
  <c r="H309" i="44"/>
  <c r="B309" i="44"/>
  <c r="B307" i="44"/>
  <c r="H305" i="44"/>
  <c r="B305" i="44"/>
  <c r="B303" i="44"/>
  <c r="H301" i="44"/>
  <c r="B301" i="44"/>
  <c r="B299" i="44"/>
  <c r="H297" i="44"/>
  <c r="G297" i="44"/>
  <c r="B297" i="44"/>
  <c r="B295" i="44"/>
  <c r="H293" i="44"/>
  <c r="B293" i="44"/>
  <c r="B291" i="44"/>
  <c r="H289" i="44"/>
  <c r="B289" i="44"/>
  <c r="B287" i="44"/>
  <c r="G285" i="44"/>
  <c r="B285" i="44"/>
  <c r="B283" i="44"/>
  <c r="H280" i="44"/>
  <c r="G280" i="44"/>
  <c r="B280" i="44"/>
  <c r="B278" i="44"/>
  <c r="G276" i="44"/>
  <c r="B276" i="44"/>
  <c r="B274" i="44"/>
  <c r="H272" i="44"/>
  <c r="G272" i="44"/>
  <c r="B272" i="44"/>
  <c r="B270" i="44"/>
  <c r="B268" i="44"/>
  <c r="B266" i="44"/>
  <c r="H264" i="44"/>
  <c r="B264" i="44"/>
  <c r="B262" i="44"/>
  <c r="B259" i="44"/>
  <c r="H253" i="44"/>
  <c r="B253" i="44"/>
  <c r="B251" i="44"/>
  <c r="H249" i="44"/>
  <c r="B249" i="44"/>
  <c r="B247" i="44"/>
  <c r="H245" i="44"/>
  <c r="G245" i="44"/>
  <c r="B245" i="44"/>
  <c r="B239" i="44"/>
  <c r="B234" i="44"/>
  <c r="F230" i="44"/>
  <c r="E230" i="44"/>
  <c r="D230" i="44"/>
  <c r="C230" i="44"/>
  <c r="E228" i="44"/>
  <c r="D228" i="44"/>
  <c r="C228" i="44"/>
  <c r="H226" i="44"/>
  <c r="B226" i="44"/>
  <c r="B224" i="44"/>
  <c r="H222" i="44"/>
  <c r="B222" i="44"/>
  <c r="B220" i="44"/>
  <c r="B218" i="44"/>
  <c r="B216" i="44"/>
  <c r="F212" i="44"/>
  <c r="E212" i="44"/>
  <c r="D212" i="44"/>
  <c r="C212" i="44"/>
  <c r="E210" i="44"/>
  <c r="D210" i="44"/>
  <c r="C210" i="44"/>
  <c r="H208" i="44"/>
  <c r="B208" i="44"/>
  <c r="B206" i="44"/>
  <c r="B204" i="44"/>
  <c r="B202" i="44"/>
  <c r="H200" i="44"/>
  <c r="B200" i="44"/>
  <c r="B198" i="44"/>
  <c r="H196" i="44"/>
  <c r="B196" i="44"/>
  <c r="B194" i="44"/>
  <c r="H192" i="44"/>
  <c r="B192" i="44"/>
  <c r="B190" i="44"/>
  <c r="H188" i="44"/>
  <c r="B188" i="44"/>
  <c r="B186" i="44"/>
  <c r="H184" i="44"/>
  <c r="B184" i="44"/>
  <c r="B182" i="44"/>
  <c r="H180" i="44"/>
  <c r="B180" i="44"/>
  <c r="B178" i="44"/>
  <c r="H176" i="44"/>
  <c r="B176" i="44"/>
  <c r="B174" i="44"/>
  <c r="H172" i="44"/>
  <c r="B172" i="44"/>
  <c r="B170" i="44"/>
  <c r="H168" i="44"/>
  <c r="B168" i="44"/>
  <c r="B166" i="44"/>
  <c r="H164" i="44"/>
  <c r="B164" i="44"/>
  <c r="B162" i="44"/>
  <c r="B160" i="44"/>
  <c r="B158" i="44"/>
  <c r="H156" i="44"/>
  <c r="B156" i="44"/>
  <c r="B154" i="44"/>
  <c r="H152" i="44"/>
  <c r="B152" i="44"/>
  <c r="B150" i="44"/>
  <c r="F146" i="44"/>
  <c r="E145" i="44"/>
  <c r="D145" i="44"/>
  <c r="C145" i="44"/>
  <c r="H143" i="44"/>
  <c r="B143" i="44"/>
  <c r="B141" i="44"/>
  <c r="H139" i="44"/>
  <c r="B139" i="44"/>
  <c r="B137" i="44"/>
  <c r="H135" i="44"/>
  <c r="B135" i="44"/>
  <c r="B133" i="44"/>
  <c r="H131" i="44"/>
  <c r="B131" i="44"/>
  <c r="B129" i="44"/>
  <c r="B127" i="44"/>
  <c r="B123" i="44"/>
  <c r="H117" i="44"/>
  <c r="B117" i="44"/>
  <c r="B115" i="44"/>
  <c r="E112" i="44"/>
  <c r="E146" i="44" s="1"/>
  <c r="B110" i="44"/>
  <c r="H108" i="44"/>
  <c r="B108" i="44"/>
  <c r="B106" i="44"/>
  <c r="H104" i="44"/>
  <c r="B104" i="44"/>
  <c r="B102" i="44"/>
  <c r="H100" i="44"/>
  <c r="B100" i="44"/>
  <c r="B98" i="44"/>
  <c r="H95" i="44"/>
  <c r="B95" i="44"/>
  <c r="B93" i="44"/>
  <c r="B90" i="44"/>
  <c r="B88" i="44"/>
  <c r="G86" i="44"/>
  <c r="B86" i="44"/>
  <c r="B84" i="44"/>
  <c r="H81" i="44"/>
  <c r="G81" i="44"/>
  <c r="B81" i="44"/>
  <c r="B78" i="44"/>
  <c r="H75" i="44"/>
  <c r="G75" i="44"/>
  <c r="B75" i="44"/>
  <c r="B73" i="44"/>
  <c r="H71" i="44"/>
  <c r="G71" i="44"/>
  <c r="B71" i="44"/>
  <c r="B69" i="44"/>
  <c r="H66" i="44"/>
  <c r="D66" i="44"/>
  <c r="C66" i="44"/>
  <c r="G66" i="44" s="1"/>
  <c r="B66" i="44"/>
  <c r="B64" i="44"/>
  <c r="H62" i="44"/>
  <c r="D62" i="44"/>
  <c r="C62" i="44"/>
  <c r="B60" i="44"/>
  <c r="H58" i="44"/>
  <c r="D58" i="44"/>
  <c r="C58" i="44"/>
  <c r="G58" i="44" s="1"/>
  <c r="B56" i="44"/>
  <c r="H54" i="44"/>
  <c r="D54" i="44"/>
  <c r="C54" i="44"/>
  <c r="G54" i="44" s="1"/>
  <c r="B52" i="44"/>
  <c r="H50" i="44"/>
  <c r="G50" i="44"/>
  <c r="D50" i="44"/>
  <c r="B50" i="44" s="1"/>
  <c r="B48" i="44"/>
  <c r="H46" i="44"/>
  <c r="D46" i="44"/>
  <c r="C46" i="44"/>
  <c r="G46" i="44" s="1"/>
  <c r="B44" i="44"/>
  <c r="H42" i="44"/>
  <c r="C42" i="44"/>
  <c r="G42" i="44" s="1"/>
  <c r="B39" i="44"/>
  <c r="H37" i="44"/>
  <c r="G37" i="44"/>
  <c r="B37" i="44"/>
  <c r="B35" i="44"/>
  <c r="H33" i="44"/>
  <c r="G33" i="44"/>
  <c r="B33" i="44"/>
  <c r="B31" i="44"/>
  <c r="H29" i="44"/>
  <c r="G29" i="44"/>
  <c r="B29" i="44"/>
  <c r="B27" i="44"/>
  <c r="H23" i="44"/>
  <c r="G23" i="44"/>
  <c r="B23" i="44"/>
  <c r="B21" i="44"/>
  <c r="H17" i="44"/>
  <c r="C17" i="44"/>
  <c r="B17" i="44" s="1"/>
  <c r="B15" i="44"/>
  <c r="H12" i="44"/>
  <c r="D12" i="44"/>
  <c r="C12" i="44"/>
  <c r="G12" i="44" s="1"/>
  <c r="B10" i="44"/>
  <c r="B8" i="44"/>
  <c r="D589" i="44" l="1"/>
  <c r="D596" i="44" s="1"/>
  <c r="I29" i="44"/>
  <c r="B594" i="44"/>
  <c r="I545" i="44"/>
  <c r="H557" i="44"/>
  <c r="I280" i="44"/>
  <c r="B58" i="44"/>
  <c r="I58" i="44" s="1"/>
  <c r="I245" i="44"/>
  <c r="I196" i="44"/>
  <c r="I567" i="44"/>
  <c r="I396" i="44"/>
  <c r="I293" i="44"/>
  <c r="I108" i="44"/>
  <c r="I297" i="44"/>
  <c r="I549" i="44"/>
  <c r="I75" i="44"/>
  <c r="I362" i="44"/>
  <c r="B54" i="44"/>
  <c r="I54" i="44" s="1"/>
  <c r="B112" i="44"/>
  <c r="H429" i="44"/>
  <c r="I81" i="44"/>
  <c r="I168" i="44"/>
  <c r="I533" i="44"/>
  <c r="I95" i="44"/>
  <c r="I200" i="44"/>
  <c r="I272" i="44"/>
  <c r="I285" i="44"/>
  <c r="I575" i="44"/>
  <c r="I188" i="44"/>
  <c r="I301" i="44"/>
  <c r="I317" i="44"/>
  <c r="I537" i="44"/>
  <c r="H218" i="44"/>
  <c r="I289" i="44"/>
  <c r="I563" i="44"/>
  <c r="I525" i="44"/>
  <c r="I143" i="44"/>
  <c r="I192" i="44"/>
  <c r="I37" i="44"/>
  <c r="I71" i="44"/>
  <c r="B593" i="44"/>
  <c r="I180" i="44"/>
  <c r="I226" i="44"/>
  <c r="I184" i="44"/>
  <c r="I66" i="44"/>
  <c r="I139" i="44"/>
  <c r="I172" i="44"/>
  <c r="I117" i="44"/>
  <c r="I276" i="44"/>
  <c r="G335" i="44"/>
  <c r="I579" i="44"/>
  <c r="I23" i="44"/>
  <c r="I305" i="44"/>
  <c r="I386" i="44"/>
  <c r="B12" i="44"/>
  <c r="I12" i="44" s="1"/>
  <c r="B62" i="44"/>
  <c r="I62" i="44" s="1"/>
  <c r="H212" i="44"/>
  <c r="B557" i="44"/>
  <c r="I176" i="44"/>
  <c r="I417" i="44"/>
  <c r="I470" i="44"/>
  <c r="I512" i="44"/>
  <c r="E589" i="44"/>
  <c r="E596" i="44" s="1"/>
  <c r="I309" i="44"/>
  <c r="I326" i="44"/>
  <c r="B230" i="44"/>
  <c r="I249" i="44"/>
  <c r="I341" i="44"/>
  <c r="I400" i="44"/>
  <c r="I553" i="44"/>
  <c r="B145" i="44"/>
  <c r="I208" i="44"/>
  <c r="I218" i="44"/>
  <c r="I421" i="44"/>
  <c r="I453" i="44"/>
  <c r="I476" i="44"/>
  <c r="I500" i="44"/>
  <c r="I516" i="44"/>
  <c r="I541" i="44"/>
  <c r="H587" i="44"/>
  <c r="I112" i="44"/>
  <c r="I135" i="44"/>
  <c r="B228" i="44"/>
  <c r="I313" i="44"/>
  <c r="I330" i="44"/>
  <c r="I529" i="44"/>
  <c r="H146" i="44"/>
  <c r="I152" i="44"/>
  <c r="I222" i="44"/>
  <c r="H230" i="44"/>
  <c r="I253" i="44"/>
  <c r="B349" i="44"/>
  <c r="I349" i="44" s="1"/>
  <c r="I377" i="44"/>
  <c r="I391" i="44"/>
  <c r="B555" i="44"/>
  <c r="I557" i="44" s="1"/>
  <c r="B42" i="44"/>
  <c r="I42" i="44" s="1"/>
  <c r="I100" i="44"/>
  <c r="I409" i="44"/>
  <c r="I425" i="44"/>
  <c r="I436" i="44"/>
  <c r="I458" i="44"/>
  <c r="I481" i="44"/>
  <c r="I504" i="44"/>
  <c r="I521" i="44"/>
  <c r="I268" i="44"/>
  <c r="I131" i="44"/>
  <c r="I50" i="44"/>
  <c r="I495" i="44"/>
  <c r="B587" i="44"/>
  <c r="B333" i="44"/>
  <c r="I164" i="44"/>
  <c r="D146" i="44"/>
  <c r="D591" i="44" s="1"/>
  <c r="D597" i="44" s="1"/>
  <c r="I156" i="44"/>
  <c r="I381" i="44"/>
  <c r="I33" i="44"/>
  <c r="G62" i="44"/>
  <c r="I86" i="44"/>
  <c r="I104" i="44"/>
  <c r="B210" i="44"/>
  <c r="I264" i="44"/>
  <c r="I413" i="44"/>
  <c r="G429" i="44"/>
  <c r="I444" i="44"/>
  <c r="I463" i="44"/>
  <c r="I488" i="44"/>
  <c r="I571" i="44"/>
  <c r="F591" i="44"/>
  <c r="I448" i="44"/>
  <c r="I17" i="44"/>
  <c r="H335" i="44"/>
  <c r="B335" i="44"/>
  <c r="H349" i="44"/>
  <c r="I370" i="44"/>
  <c r="H594" i="44"/>
  <c r="H112" i="44"/>
  <c r="B212" i="44"/>
  <c r="I583" i="44"/>
  <c r="H268" i="44"/>
  <c r="I345" i="44"/>
  <c r="B585" i="44"/>
  <c r="C589" i="44"/>
  <c r="B46" i="44"/>
  <c r="I46" i="44" s="1"/>
  <c r="G17" i="44"/>
  <c r="C146" i="44"/>
  <c r="I321" i="44"/>
  <c r="E591" i="44"/>
  <c r="I429" i="44" l="1"/>
  <c r="I212" i="44"/>
  <c r="I230" i="44"/>
  <c r="I335" i="44"/>
  <c r="I587" i="44"/>
  <c r="B589" i="44"/>
  <c r="C596" i="44"/>
  <c r="B596" i="44" s="1"/>
  <c r="E597" i="44"/>
  <c r="H597" i="44" s="1"/>
  <c r="H591" i="44"/>
  <c r="B146" i="44"/>
  <c r="I146" i="44" s="1"/>
  <c r="G146" i="44"/>
  <c r="C591" i="44"/>
  <c r="G591" i="44" l="1"/>
  <c r="B591" i="44"/>
  <c r="I591" i="44" s="1"/>
  <c r="C597" i="44"/>
  <c r="G597" i="44" l="1"/>
  <c r="B597" i="44"/>
  <c r="Z8" i="43" l="1"/>
  <c r="Y8" i="43"/>
  <c r="X8" i="43"/>
  <c r="W8" i="43"/>
  <c r="V8" i="43"/>
  <c r="U8" i="43"/>
  <c r="T8" i="43"/>
  <c r="S8" i="43"/>
  <c r="R8" i="43"/>
  <c r="Q8" i="43"/>
  <c r="P8" i="43"/>
  <c r="O8" i="43"/>
  <c r="N8" i="43"/>
  <c r="M8" i="43"/>
  <c r="L8" i="43"/>
  <c r="K8" i="43"/>
  <c r="J8" i="43"/>
  <c r="C8" i="43" s="1"/>
  <c r="I8" i="43"/>
  <c r="H8" i="43"/>
  <c r="G8" i="43"/>
  <c r="F8" i="43"/>
  <c r="E8" i="43"/>
  <c r="D8" i="43"/>
  <c r="C7" i="43"/>
  <c r="C6" i="43"/>
  <c r="H39" i="39" l="1"/>
  <c r="O9" i="40" l="1"/>
  <c r="O10" i="40"/>
  <c r="O11" i="40"/>
  <c r="O19" i="40" s="1"/>
  <c r="O12" i="40"/>
  <c r="O20" i="40" s="1"/>
  <c r="O13" i="40"/>
  <c r="O21" i="40" s="1"/>
  <c r="O14" i="40"/>
  <c r="O22" i="40" s="1"/>
  <c r="I15" i="40"/>
  <c r="J15" i="40"/>
  <c r="K15" i="40"/>
  <c r="K16" i="40" s="1"/>
  <c r="L15" i="40"/>
  <c r="L16" i="40" s="1"/>
  <c r="M15" i="40"/>
  <c r="M16" i="40" s="1"/>
  <c r="N15" i="40"/>
  <c r="N16" i="40" s="1"/>
  <c r="P15" i="40"/>
  <c r="Q15" i="40"/>
  <c r="R15" i="40"/>
  <c r="R16" i="40" s="1"/>
  <c r="S15" i="40"/>
  <c r="S16" i="40" s="1"/>
  <c r="T15" i="40"/>
  <c r="T16" i="40" s="1"/>
  <c r="U15" i="40"/>
  <c r="U16" i="40" s="1"/>
  <c r="I16" i="40"/>
  <c r="J16" i="40"/>
  <c r="P16" i="40"/>
  <c r="Q16" i="40"/>
  <c r="I17" i="40"/>
  <c r="J17" i="40"/>
  <c r="K17" i="40"/>
  <c r="L17" i="40"/>
  <c r="M17" i="40"/>
  <c r="N17" i="40"/>
  <c r="O17" i="40"/>
  <c r="P17" i="40"/>
  <c r="Q17" i="40"/>
  <c r="R17" i="40"/>
  <c r="S17" i="40"/>
  <c r="T17" i="40"/>
  <c r="U17" i="40"/>
  <c r="I18" i="40"/>
  <c r="J18" i="40"/>
  <c r="K18" i="40"/>
  <c r="L18" i="40"/>
  <c r="M18" i="40"/>
  <c r="N18" i="40"/>
  <c r="O18" i="40"/>
  <c r="P18" i="40"/>
  <c r="Q18" i="40"/>
  <c r="R18" i="40"/>
  <c r="S18" i="40"/>
  <c r="T18" i="40"/>
  <c r="U18" i="40"/>
  <c r="I19" i="40"/>
  <c r="J19" i="40"/>
  <c r="K19" i="40"/>
  <c r="L19" i="40"/>
  <c r="M19" i="40"/>
  <c r="N19" i="40"/>
  <c r="P19" i="40"/>
  <c r="Q19" i="40"/>
  <c r="R19" i="40"/>
  <c r="S19" i="40"/>
  <c r="T19" i="40"/>
  <c r="U19" i="40"/>
  <c r="I20" i="40"/>
  <c r="J20" i="40"/>
  <c r="K20" i="40"/>
  <c r="L20" i="40"/>
  <c r="M20" i="40"/>
  <c r="N20" i="40"/>
  <c r="P20" i="40"/>
  <c r="Q20" i="40"/>
  <c r="R20" i="40"/>
  <c r="S20" i="40"/>
  <c r="T20" i="40"/>
  <c r="U20" i="40"/>
  <c r="I21" i="40"/>
  <c r="J21" i="40"/>
  <c r="K21" i="40"/>
  <c r="L21" i="40"/>
  <c r="M21" i="40"/>
  <c r="N21" i="40"/>
  <c r="P21" i="40"/>
  <c r="Q21" i="40"/>
  <c r="R21" i="40"/>
  <c r="S21" i="40"/>
  <c r="T21" i="40"/>
  <c r="U21" i="40"/>
  <c r="I22" i="40"/>
  <c r="J22" i="40"/>
  <c r="K22" i="40"/>
  <c r="L22" i="40"/>
  <c r="M22" i="40"/>
  <c r="N22" i="40"/>
  <c r="P22" i="40"/>
  <c r="Q22" i="40"/>
  <c r="R22" i="40"/>
  <c r="S22" i="40"/>
  <c r="T22" i="40"/>
  <c r="U22" i="40"/>
  <c r="O24" i="40"/>
  <c r="O25" i="40"/>
  <c r="O26" i="40"/>
  <c r="O27" i="40"/>
  <c r="O28" i="40"/>
  <c r="O29" i="40"/>
  <c r="I30" i="40"/>
  <c r="J30" i="40"/>
  <c r="K30" i="40"/>
  <c r="L30" i="40"/>
  <c r="M30" i="40"/>
  <c r="M38" i="40" s="1"/>
  <c r="N30" i="40"/>
  <c r="N38" i="40" s="1"/>
  <c r="P30" i="40"/>
  <c r="Q30" i="40"/>
  <c r="R30" i="40"/>
  <c r="S30" i="40"/>
  <c r="T30" i="40"/>
  <c r="U30" i="40"/>
  <c r="O31" i="40"/>
  <c r="O32" i="40"/>
  <c r="O33" i="40"/>
  <c r="O34" i="40"/>
  <c r="O35" i="40"/>
  <c r="O36" i="40"/>
  <c r="I37" i="40"/>
  <c r="J37" i="40"/>
  <c r="K37" i="40"/>
  <c r="L37" i="40"/>
  <c r="M37" i="40"/>
  <c r="N37" i="40"/>
  <c r="P37" i="40"/>
  <c r="Q37" i="40"/>
  <c r="R37" i="40"/>
  <c r="S37" i="40"/>
  <c r="T37" i="40"/>
  <c r="U37" i="40"/>
  <c r="P38" i="40"/>
  <c r="I39" i="40"/>
  <c r="J39" i="40"/>
  <c r="K39" i="40"/>
  <c r="L39" i="40"/>
  <c r="M39" i="40"/>
  <c r="N39" i="40"/>
  <c r="P39" i="40"/>
  <c r="Q39" i="40"/>
  <c r="R39" i="40"/>
  <c r="S39" i="40"/>
  <c r="T39" i="40"/>
  <c r="U39" i="40"/>
  <c r="I40" i="40"/>
  <c r="J40" i="40"/>
  <c r="K40" i="40"/>
  <c r="L40" i="40"/>
  <c r="M40" i="40"/>
  <c r="N40" i="40"/>
  <c r="P40" i="40"/>
  <c r="Q40" i="40"/>
  <c r="R40" i="40"/>
  <c r="S40" i="40"/>
  <c r="T40" i="40"/>
  <c r="U40" i="40"/>
  <c r="I41" i="40"/>
  <c r="J41" i="40"/>
  <c r="K41" i="40"/>
  <c r="L41" i="40"/>
  <c r="M41" i="40"/>
  <c r="N41" i="40"/>
  <c r="P41" i="40"/>
  <c r="Q41" i="40"/>
  <c r="R41" i="40"/>
  <c r="S41" i="40"/>
  <c r="T41" i="40"/>
  <c r="U41" i="40"/>
  <c r="I42" i="40"/>
  <c r="J42" i="40"/>
  <c r="K42" i="40"/>
  <c r="L42" i="40"/>
  <c r="M42" i="40"/>
  <c r="N42" i="40"/>
  <c r="P42" i="40"/>
  <c r="Q42" i="40"/>
  <c r="R42" i="40"/>
  <c r="S42" i="40"/>
  <c r="T42" i="40"/>
  <c r="U42" i="40"/>
  <c r="I43" i="40"/>
  <c r="J43" i="40"/>
  <c r="K43" i="40"/>
  <c r="L43" i="40"/>
  <c r="M43" i="40"/>
  <c r="N43" i="40"/>
  <c r="P43" i="40"/>
  <c r="Q43" i="40"/>
  <c r="R43" i="40"/>
  <c r="S43" i="40"/>
  <c r="T43" i="40"/>
  <c r="U43" i="40"/>
  <c r="I44" i="40"/>
  <c r="J44" i="40"/>
  <c r="K44" i="40"/>
  <c r="L44" i="40"/>
  <c r="M44" i="40"/>
  <c r="N44" i="40"/>
  <c r="P44" i="40"/>
  <c r="Q44" i="40"/>
  <c r="R44" i="40"/>
  <c r="S44" i="40"/>
  <c r="T44" i="40"/>
  <c r="U44" i="40"/>
  <c r="O46" i="40"/>
  <c r="O47" i="40"/>
  <c r="O48" i="40"/>
  <c r="O49" i="40"/>
  <c r="O50" i="40"/>
  <c r="O51" i="40"/>
  <c r="I52" i="40"/>
  <c r="J52" i="40"/>
  <c r="K52" i="40"/>
  <c r="L52" i="40"/>
  <c r="M52" i="40"/>
  <c r="N52" i="40"/>
  <c r="P52" i="40"/>
  <c r="Q52" i="40"/>
  <c r="R52" i="40"/>
  <c r="S52" i="40"/>
  <c r="T52" i="40"/>
  <c r="U52" i="40"/>
  <c r="O53" i="40"/>
  <c r="O54" i="40"/>
  <c r="O55" i="40"/>
  <c r="O56" i="40"/>
  <c r="O57" i="40"/>
  <c r="O58" i="40"/>
  <c r="I59" i="40"/>
  <c r="J59" i="40"/>
  <c r="K59" i="40"/>
  <c r="L59" i="40"/>
  <c r="M59" i="40"/>
  <c r="N59" i="40"/>
  <c r="P59" i="40"/>
  <c r="Q59" i="40"/>
  <c r="R59" i="40"/>
  <c r="S59" i="40"/>
  <c r="T59" i="40"/>
  <c r="U59" i="40"/>
  <c r="O60" i="40"/>
  <c r="O61" i="40"/>
  <c r="O62" i="40"/>
  <c r="O63" i="40"/>
  <c r="O64" i="40"/>
  <c r="O65" i="40"/>
  <c r="I66" i="40"/>
  <c r="J66" i="40"/>
  <c r="K66" i="40"/>
  <c r="L66" i="40"/>
  <c r="M66" i="40"/>
  <c r="N66" i="40"/>
  <c r="P66" i="40"/>
  <c r="Q66" i="40"/>
  <c r="R66" i="40"/>
  <c r="S66" i="40"/>
  <c r="T66" i="40"/>
  <c r="U66" i="40"/>
  <c r="O67" i="40"/>
  <c r="O68" i="40"/>
  <c r="O69" i="40"/>
  <c r="O70" i="40"/>
  <c r="O71" i="40"/>
  <c r="O72" i="40"/>
  <c r="I73" i="40"/>
  <c r="J73" i="40"/>
  <c r="K73" i="40"/>
  <c r="L73" i="40"/>
  <c r="M73" i="40"/>
  <c r="N73" i="40"/>
  <c r="P73" i="40"/>
  <c r="Q73" i="40"/>
  <c r="R73" i="40"/>
  <c r="S73" i="40"/>
  <c r="T73" i="40"/>
  <c r="U73" i="40"/>
  <c r="O74" i="40"/>
  <c r="O75" i="40"/>
  <c r="O76" i="40"/>
  <c r="O77" i="40"/>
  <c r="O78" i="40"/>
  <c r="O79" i="40"/>
  <c r="I80" i="40"/>
  <c r="J80" i="40"/>
  <c r="K80" i="40"/>
  <c r="L80" i="40"/>
  <c r="M80" i="40"/>
  <c r="N80" i="40"/>
  <c r="P80" i="40"/>
  <c r="Q80" i="40"/>
  <c r="R80" i="40"/>
  <c r="S80" i="40"/>
  <c r="T80" i="40"/>
  <c r="U80" i="40"/>
  <c r="O81" i="40"/>
  <c r="O82" i="40"/>
  <c r="O83" i="40"/>
  <c r="O84" i="40"/>
  <c r="O85" i="40"/>
  <c r="O86" i="40"/>
  <c r="I87" i="40"/>
  <c r="J87" i="40"/>
  <c r="K87" i="40"/>
  <c r="L87" i="40"/>
  <c r="M87" i="40"/>
  <c r="N87" i="40"/>
  <c r="P87" i="40"/>
  <c r="Q87" i="40"/>
  <c r="R87" i="40"/>
  <c r="S87" i="40"/>
  <c r="T87" i="40"/>
  <c r="U87" i="40"/>
  <c r="O88" i="40"/>
  <c r="O89" i="40"/>
  <c r="O90" i="40"/>
  <c r="O91" i="40"/>
  <c r="O92" i="40"/>
  <c r="O93" i="40"/>
  <c r="I94" i="40"/>
  <c r="J94" i="40"/>
  <c r="K94" i="40"/>
  <c r="L94" i="40"/>
  <c r="M94" i="40"/>
  <c r="N94" i="40"/>
  <c r="P94" i="40"/>
  <c r="Q94" i="40"/>
  <c r="R94" i="40"/>
  <c r="S94" i="40"/>
  <c r="T94" i="40"/>
  <c r="U94" i="40"/>
  <c r="O95" i="40"/>
  <c r="O96" i="40"/>
  <c r="O97" i="40"/>
  <c r="O98" i="40"/>
  <c r="O99" i="40"/>
  <c r="O100" i="40"/>
  <c r="I101" i="40"/>
  <c r="J101" i="40"/>
  <c r="K101" i="40"/>
  <c r="L101" i="40"/>
  <c r="M101" i="40"/>
  <c r="N101" i="40"/>
  <c r="P101" i="40"/>
  <c r="Q101" i="40"/>
  <c r="R101" i="40"/>
  <c r="S101" i="40"/>
  <c r="T101" i="40"/>
  <c r="U101" i="40"/>
  <c r="O102" i="40"/>
  <c r="O103" i="40"/>
  <c r="O104" i="40"/>
  <c r="O105" i="40"/>
  <c r="O106" i="40"/>
  <c r="O107" i="40"/>
  <c r="I108" i="40"/>
  <c r="J108" i="40"/>
  <c r="K108" i="40"/>
  <c r="L108" i="40"/>
  <c r="M108" i="40"/>
  <c r="N108" i="40"/>
  <c r="P108" i="40"/>
  <c r="Q108" i="40"/>
  <c r="R108" i="40"/>
  <c r="S108" i="40"/>
  <c r="T108" i="40"/>
  <c r="U108" i="40"/>
  <c r="O109" i="40"/>
  <c r="O110" i="40"/>
  <c r="O111" i="40"/>
  <c r="O112" i="40"/>
  <c r="O113" i="40"/>
  <c r="O114" i="40"/>
  <c r="I115" i="40"/>
  <c r="J115" i="40"/>
  <c r="K115" i="40"/>
  <c r="L115" i="40"/>
  <c r="M115" i="40"/>
  <c r="N115" i="40"/>
  <c r="P115" i="40"/>
  <c r="Q115" i="40"/>
  <c r="R115" i="40"/>
  <c r="S115" i="40"/>
  <c r="T115" i="40"/>
  <c r="U115" i="40"/>
  <c r="O116" i="40"/>
  <c r="O117" i="40"/>
  <c r="O118" i="40"/>
  <c r="O119" i="40"/>
  <c r="O120" i="40"/>
  <c r="O121" i="40"/>
  <c r="I122" i="40"/>
  <c r="J122" i="40"/>
  <c r="K122" i="40"/>
  <c r="L122" i="40"/>
  <c r="M122" i="40"/>
  <c r="N122" i="40"/>
  <c r="P122" i="40"/>
  <c r="Q122" i="40"/>
  <c r="R122" i="40"/>
  <c r="S122" i="40"/>
  <c r="T122" i="40"/>
  <c r="U122" i="40"/>
  <c r="O123" i="40"/>
  <c r="O124" i="40"/>
  <c r="O125" i="40"/>
  <c r="O126" i="40"/>
  <c r="O127" i="40"/>
  <c r="O128" i="40"/>
  <c r="I129" i="40"/>
  <c r="J129" i="40"/>
  <c r="K129" i="40"/>
  <c r="L129" i="40"/>
  <c r="M129" i="40"/>
  <c r="N129" i="40"/>
  <c r="P129" i="40"/>
  <c r="Q129" i="40"/>
  <c r="R129" i="40"/>
  <c r="S129" i="40"/>
  <c r="T129" i="40"/>
  <c r="U129" i="40"/>
  <c r="O130" i="40"/>
  <c r="O131" i="40"/>
  <c r="O132" i="40"/>
  <c r="O133" i="40"/>
  <c r="O134" i="40"/>
  <c r="O135" i="40"/>
  <c r="I136" i="40"/>
  <c r="J136" i="40"/>
  <c r="K136" i="40"/>
  <c r="L136" i="40"/>
  <c r="M136" i="40"/>
  <c r="N136" i="40"/>
  <c r="P136" i="40"/>
  <c r="Q136" i="40"/>
  <c r="R136" i="40"/>
  <c r="S136" i="40"/>
  <c r="T136" i="40"/>
  <c r="U136" i="40"/>
  <c r="O137" i="40"/>
  <c r="O138" i="40"/>
  <c r="O139" i="40"/>
  <c r="O140" i="40"/>
  <c r="O141" i="40"/>
  <c r="O142" i="40"/>
  <c r="I143" i="40"/>
  <c r="J143" i="40"/>
  <c r="K143" i="40"/>
  <c r="L143" i="40"/>
  <c r="M143" i="40"/>
  <c r="N143" i="40"/>
  <c r="P143" i="40"/>
  <c r="Q143" i="40"/>
  <c r="R143" i="40"/>
  <c r="S143" i="40"/>
  <c r="T143" i="40"/>
  <c r="U143" i="40"/>
  <c r="O144" i="40"/>
  <c r="O145" i="40"/>
  <c r="O146" i="40"/>
  <c r="O147" i="40"/>
  <c r="O148" i="40"/>
  <c r="O149" i="40"/>
  <c r="I150" i="40"/>
  <c r="J150" i="40"/>
  <c r="J165" i="40" s="1"/>
  <c r="K150" i="40"/>
  <c r="L150" i="40"/>
  <c r="M150" i="40"/>
  <c r="N150" i="40"/>
  <c r="P150" i="40"/>
  <c r="Q150" i="40"/>
  <c r="R150" i="40"/>
  <c r="S150" i="40"/>
  <c r="T150" i="40"/>
  <c r="U150" i="40"/>
  <c r="O151" i="40"/>
  <c r="O152" i="40"/>
  <c r="O153" i="40"/>
  <c r="O154" i="40"/>
  <c r="O155" i="40"/>
  <c r="O156" i="40"/>
  <c r="I157" i="40"/>
  <c r="J157" i="40"/>
  <c r="K157" i="40"/>
  <c r="L157" i="40"/>
  <c r="M157" i="40"/>
  <c r="N157" i="40"/>
  <c r="P157" i="40"/>
  <c r="Q157" i="40"/>
  <c r="R157" i="40"/>
  <c r="S157" i="40"/>
  <c r="T157" i="40"/>
  <c r="U157" i="40"/>
  <c r="O158" i="40"/>
  <c r="O159" i="40"/>
  <c r="O160" i="40"/>
  <c r="O161" i="40"/>
  <c r="O162" i="40"/>
  <c r="O163" i="40"/>
  <c r="I164" i="40"/>
  <c r="J164" i="40"/>
  <c r="K164" i="40"/>
  <c r="L164" i="40"/>
  <c r="M164" i="40"/>
  <c r="N164" i="40"/>
  <c r="P164" i="40"/>
  <c r="Q164" i="40"/>
  <c r="R164" i="40"/>
  <c r="S164" i="40"/>
  <c r="T164" i="40"/>
  <c r="U164" i="40"/>
  <c r="I166" i="40"/>
  <c r="J166" i="40"/>
  <c r="K166" i="40"/>
  <c r="L166" i="40"/>
  <c r="M166" i="40"/>
  <c r="N166" i="40"/>
  <c r="P166" i="40"/>
  <c r="Q166" i="40"/>
  <c r="R166" i="40"/>
  <c r="S166" i="40"/>
  <c r="T166" i="40"/>
  <c r="U166" i="40"/>
  <c r="I167" i="40"/>
  <c r="J167" i="40"/>
  <c r="K167" i="40"/>
  <c r="L167" i="40"/>
  <c r="M167" i="40"/>
  <c r="N167" i="40"/>
  <c r="P167" i="40"/>
  <c r="Q167" i="40"/>
  <c r="R167" i="40"/>
  <c r="S167" i="40"/>
  <c r="T167" i="40"/>
  <c r="U167" i="40"/>
  <c r="I168" i="40"/>
  <c r="J168" i="40"/>
  <c r="K168" i="40"/>
  <c r="L168" i="40"/>
  <c r="M168" i="40"/>
  <c r="N168" i="40"/>
  <c r="P168" i="40"/>
  <c r="Q168" i="40"/>
  <c r="R168" i="40"/>
  <c r="S168" i="40"/>
  <c r="T168" i="40"/>
  <c r="U168" i="40"/>
  <c r="I169" i="40"/>
  <c r="J169" i="40"/>
  <c r="K169" i="40"/>
  <c r="L169" i="40"/>
  <c r="M169" i="40"/>
  <c r="N169" i="40"/>
  <c r="P169" i="40"/>
  <c r="Q169" i="40"/>
  <c r="R169" i="40"/>
  <c r="S169" i="40"/>
  <c r="T169" i="40"/>
  <c r="U169" i="40"/>
  <c r="I170" i="40"/>
  <c r="J170" i="40"/>
  <c r="K170" i="40"/>
  <c r="L170" i="40"/>
  <c r="M170" i="40"/>
  <c r="N170" i="40"/>
  <c r="P170" i="40"/>
  <c r="Q170" i="40"/>
  <c r="R170" i="40"/>
  <c r="S170" i="40"/>
  <c r="T170" i="40"/>
  <c r="U170" i="40"/>
  <c r="I171" i="40"/>
  <c r="J171" i="40"/>
  <c r="K171" i="40"/>
  <c r="L171" i="40"/>
  <c r="M171" i="40"/>
  <c r="N171" i="40"/>
  <c r="P171" i="40"/>
  <c r="Q171" i="40"/>
  <c r="R171" i="40"/>
  <c r="S171" i="40"/>
  <c r="T171" i="40"/>
  <c r="U171" i="40"/>
  <c r="O173" i="40"/>
  <c r="O174" i="40"/>
  <c r="O175" i="40"/>
  <c r="O176" i="40"/>
  <c r="O177" i="40"/>
  <c r="O178" i="40"/>
  <c r="I179" i="40"/>
  <c r="J179" i="40"/>
  <c r="K179" i="40"/>
  <c r="L179" i="40"/>
  <c r="M179" i="40"/>
  <c r="N179" i="40"/>
  <c r="P179" i="40"/>
  <c r="Q179" i="40"/>
  <c r="R179" i="40"/>
  <c r="S179" i="40"/>
  <c r="T179" i="40"/>
  <c r="U179" i="40"/>
  <c r="O180" i="40"/>
  <c r="O181" i="40"/>
  <c r="O182" i="40"/>
  <c r="O183" i="40"/>
  <c r="O184" i="40"/>
  <c r="O185" i="40"/>
  <c r="I186" i="40"/>
  <c r="J186" i="40"/>
  <c r="K186" i="40"/>
  <c r="L186" i="40"/>
  <c r="M186" i="40"/>
  <c r="N186" i="40"/>
  <c r="P186" i="40"/>
  <c r="Q186" i="40"/>
  <c r="R186" i="40"/>
  <c r="S186" i="40"/>
  <c r="T186" i="40"/>
  <c r="U186" i="40"/>
  <c r="O187" i="40"/>
  <c r="O188" i="40"/>
  <c r="O189" i="40"/>
  <c r="O190" i="40"/>
  <c r="O191" i="40"/>
  <c r="O192" i="40"/>
  <c r="I193" i="40"/>
  <c r="J193" i="40"/>
  <c r="K193" i="40"/>
  <c r="L193" i="40"/>
  <c r="M193" i="40"/>
  <c r="N193" i="40"/>
  <c r="P193" i="40"/>
  <c r="Q193" i="40"/>
  <c r="R193" i="40"/>
  <c r="S193" i="40"/>
  <c r="T193" i="40"/>
  <c r="U193" i="40"/>
  <c r="O194" i="40"/>
  <c r="O195" i="40"/>
  <c r="O196" i="40"/>
  <c r="O197" i="40"/>
  <c r="O198" i="40"/>
  <c r="I200" i="40"/>
  <c r="J200" i="40"/>
  <c r="K200" i="40"/>
  <c r="L200" i="40"/>
  <c r="M200" i="40"/>
  <c r="N200" i="40"/>
  <c r="P200" i="40"/>
  <c r="Q200" i="40"/>
  <c r="R200" i="40"/>
  <c r="S200" i="40"/>
  <c r="T200" i="40"/>
  <c r="U200" i="40"/>
  <c r="O201" i="40"/>
  <c r="O202" i="40"/>
  <c r="O203" i="40"/>
  <c r="O204" i="40"/>
  <c r="O205" i="40"/>
  <c r="O206" i="40"/>
  <c r="I207" i="40"/>
  <c r="J207" i="40"/>
  <c r="K207" i="40"/>
  <c r="L207" i="40"/>
  <c r="M207" i="40"/>
  <c r="N207" i="40"/>
  <c r="P207" i="40"/>
  <c r="Q207" i="40"/>
  <c r="R207" i="40"/>
  <c r="S207" i="40"/>
  <c r="T207" i="40"/>
  <c r="U207" i="40"/>
  <c r="J213" i="40"/>
  <c r="J214" i="40" s="1"/>
  <c r="I214" i="40"/>
  <c r="K214" i="40"/>
  <c r="L214" i="40"/>
  <c r="M214" i="40"/>
  <c r="N214" i="40"/>
  <c r="O214" i="40"/>
  <c r="P214" i="40"/>
  <c r="Q214" i="40"/>
  <c r="R214" i="40"/>
  <c r="S214" i="40"/>
  <c r="T214" i="40"/>
  <c r="U214" i="40"/>
  <c r="I221" i="40"/>
  <c r="J221" i="40"/>
  <c r="K221" i="40"/>
  <c r="L221" i="40"/>
  <c r="M221" i="40"/>
  <c r="N221" i="40"/>
  <c r="O221" i="40"/>
  <c r="P221" i="40"/>
  <c r="Q221" i="40"/>
  <c r="R221" i="40"/>
  <c r="S221" i="40"/>
  <c r="T221" i="40"/>
  <c r="U221" i="40"/>
  <c r="I228" i="40"/>
  <c r="J228" i="40"/>
  <c r="K228" i="40"/>
  <c r="L228" i="40"/>
  <c r="M228" i="40"/>
  <c r="N228" i="40"/>
  <c r="O228" i="40"/>
  <c r="P228" i="40"/>
  <c r="Q228" i="40"/>
  <c r="R228" i="40"/>
  <c r="S228" i="40"/>
  <c r="T228" i="40"/>
  <c r="U228" i="40"/>
  <c r="O229" i="40"/>
  <c r="O230" i="40"/>
  <c r="O231" i="40"/>
  <c r="O232" i="40"/>
  <c r="O233" i="40"/>
  <c r="O234" i="40"/>
  <c r="I235" i="40"/>
  <c r="J235" i="40"/>
  <c r="K235" i="40"/>
  <c r="L235" i="40"/>
  <c r="M235" i="40"/>
  <c r="N235" i="40"/>
  <c r="P235" i="40"/>
  <c r="Q235" i="40"/>
  <c r="R235" i="40"/>
  <c r="S235" i="40"/>
  <c r="T235" i="40"/>
  <c r="U235" i="40"/>
  <c r="O236" i="40"/>
  <c r="O237" i="40"/>
  <c r="O238" i="40"/>
  <c r="O239" i="40"/>
  <c r="O240" i="40"/>
  <c r="O241" i="40"/>
  <c r="I242" i="40"/>
  <c r="J242" i="40"/>
  <c r="K242" i="40"/>
  <c r="L242" i="40"/>
  <c r="M242" i="40"/>
  <c r="N242" i="40"/>
  <c r="P242" i="40"/>
  <c r="Q242" i="40"/>
  <c r="R242" i="40"/>
  <c r="S242" i="40"/>
  <c r="T242" i="40"/>
  <c r="U242" i="40"/>
  <c r="O243" i="40"/>
  <c r="O244" i="40"/>
  <c r="O245" i="40"/>
  <c r="O246" i="40"/>
  <c r="O247" i="40"/>
  <c r="O248" i="40"/>
  <c r="I249" i="40"/>
  <c r="J249" i="40"/>
  <c r="K249" i="40"/>
  <c r="L249" i="40"/>
  <c r="M249" i="40"/>
  <c r="N249" i="40"/>
  <c r="P249" i="40"/>
  <c r="Q249" i="40"/>
  <c r="R249" i="40"/>
  <c r="S249" i="40"/>
  <c r="T249" i="40"/>
  <c r="U249" i="40"/>
  <c r="I256" i="40"/>
  <c r="J256" i="40"/>
  <c r="K256" i="40"/>
  <c r="L256" i="40"/>
  <c r="M256" i="40"/>
  <c r="N256" i="40"/>
  <c r="O256" i="40"/>
  <c r="P256" i="40"/>
  <c r="Q256" i="40"/>
  <c r="R256" i="40"/>
  <c r="S256" i="40"/>
  <c r="T256" i="40"/>
  <c r="U256" i="40"/>
  <c r="J262" i="40"/>
  <c r="I263" i="40"/>
  <c r="J263" i="40"/>
  <c r="K263" i="40"/>
  <c r="L263" i="40"/>
  <c r="M263" i="40"/>
  <c r="N263" i="40"/>
  <c r="O263" i="40"/>
  <c r="P263" i="40"/>
  <c r="Q263" i="40"/>
  <c r="R263" i="40"/>
  <c r="S263" i="40"/>
  <c r="T263" i="40"/>
  <c r="U263" i="40"/>
  <c r="I270" i="40"/>
  <c r="J270" i="40"/>
  <c r="K270" i="40"/>
  <c r="L270" i="40"/>
  <c r="M270" i="40"/>
  <c r="N270" i="40"/>
  <c r="O270" i="40"/>
  <c r="P270" i="40"/>
  <c r="Q270" i="40"/>
  <c r="R270" i="40"/>
  <c r="S270" i="40"/>
  <c r="T270" i="40"/>
  <c r="U270" i="40"/>
  <c r="I277" i="40"/>
  <c r="J277" i="40"/>
  <c r="K277" i="40"/>
  <c r="L277" i="40"/>
  <c r="M277" i="40"/>
  <c r="N277" i="40"/>
  <c r="O277" i="40"/>
  <c r="P277" i="40"/>
  <c r="Q277" i="40"/>
  <c r="R277" i="40"/>
  <c r="S277" i="40"/>
  <c r="T277" i="40"/>
  <c r="U277" i="40"/>
  <c r="J283" i="40"/>
  <c r="J414" i="40" s="1"/>
  <c r="I284" i="40"/>
  <c r="K284" i="40"/>
  <c r="L284" i="40"/>
  <c r="M284" i="40"/>
  <c r="N284" i="40"/>
  <c r="O284" i="40"/>
  <c r="P284" i="40"/>
  <c r="Q284" i="40"/>
  <c r="R284" i="40"/>
  <c r="S284" i="40"/>
  <c r="T284" i="40"/>
  <c r="U284" i="40"/>
  <c r="O285" i="40"/>
  <c r="O286" i="40"/>
  <c r="O287" i="40"/>
  <c r="O288" i="40"/>
  <c r="O289" i="40"/>
  <c r="O290" i="40"/>
  <c r="I291" i="40"/>
  <c r="J291" i="40"/>
  <c r="K291" i="40"/>
  <c r="L291" i="40"/>
  <c r="M291" i="40"/>
  <c r="N291" i="40"/>
  <c r="P291" i="40"/>
  <c r="Q291" i="40"/>
  <c r="R291" i="40"/>
  <c r="S291" i="40"/>
  <c r="T291" i="40"/>
  <c r="U291" i="40"/>
  <c r="O292" i="40"/>
  <c r="O293" i="40"/>
  <c r="O294" i="40"/>
  <c r="O295" i="40"/>
  <c r="O296" i="40"/>
  <c r="O297" i="40"/>
  <c r="I298" i="40"/>
  <c r="J298" i="40"/>
  <c r="K298" i="40"/>
  <c r="L298" i="40"/>
  <c r="M298" i="40"/>
  <c r="N298" i="40"/>
  <c r="P298" i="40"/>
  <c r="Q298" i="40"/>
  <c r="R298" i="40"/>
  <c r="S298" i="40"/>
  <c r="T298" i="40"/>
  <c r="U298" i="40"/>
  <c r="O299" i="40"/>
  <c r="O300" i="40"/>
  <c r="O301" i="40"/>
  <c r="O302" i="40"/>
  <c r="O303" i="40"/>
  <c r="O304" i="40"/>
  <c r="I305" i="40"/>
  <c r="J305" i="40"/>
  <c r="K305" i="40"/>
  <c r="L305" i="40"/>
  <c r="M305" i="40"/>
  <c r="N305" i="40"/>
  <c r="P305" i="40"/>
  <c r="Q305" i="40"/>
  <c r="R305" i="40"/>
  <c r="S305" i="40"/>
  <c r="T305" i="40"/>
  <c r="U305" i="40"/>
  <c r="O306" i="40"/>
  <c r="O307" i="40"/>
  <c r="O308" i="40"/>
  <c r="O309" i="40"/>
  <c r="O310" i="40"/>
  <c r="O311" i="40"/>
  <c r="I312" i="40"/>
  <c r="J312" i="40"/>
  <c r="K312" i="40"/>
  <c r="L312" i="40"/>
  <c r="M312" i="40"/>
  <c r="N312" i="40"/>
  <c r="P312" i="40"/>
  <c r="Q312" i="40"/>
  <c r="R312" i="40"/>
  <c r="S312" i="40"/>
  <c r="T312" i="40"/>
  <c r="U312" i="40"/>
  <c r="O313" i="40"/>
  <c r="O314" i="40"/>
  <c r="O315" i="40"/>
  <c r="O316" i="40"/>
  <c r="O317" i="40"/>
  <c r="O318" i="40"/>
  <c r="I319" i="40"/>
  <c r="J319" i="40"/>
  <c r="K319" i="40"/>
  <c r="L319" i="40"/>
  <c r="M319" i="40"/>
  <c r="N319" i="40"/>
  <c r="P319" i="40"/>
  <c r="Q319" i="40"/>
  <c r="R319" i="40"/>
  <c r="S319" i="40"/>
  <c r="T319" i="40"/>
  <c r="U319" i="40"/>
  <c r="O320" i="40"/>
  <c r="O321" i="40"/>
  <c r="O322" i="40"/>
  <c r="O323" i="40"/>
  <c r="O324" i="40"/>
  <c r="O325" i="40"/>
  <c r="I326" i="40"/>
  <c r="J326" i="40"/>
  <c r="K326" i="40"/>
  <c r="L326" i="40"/>
  <c r="M326" i="40"/>
  <c r="N326" i="40"/>
  <c r="P326" i="40"/>
  <c r="Q326" i="40"/>
  <c r="R326" i="40"/>
  <c r="S326" i="40"/>
  <c r="T326" i="40"/>
  <c r="U326" i="40"/>
  <c r="O327" i="40"/>
  <c r="O328" i="40"/>
  <c r="O329" i="40"/>
  <c r="O330" i="40"/>
  <c r="O331" i="40"/>
  <c r="O332" i="40"/>
  <c r="I333" i="40"/>
  <c r="J333" i="40"/>
  <c r="K333" i="40"/>
  <c r="L333" i="40"/>
  <c r="M333" i="40"/>
  <c r="N333" i="40"/>
  <c r="P333" i="40"/>
  <c r="Q333" i="40"/>
  <c r="R333" i="40"/>
  <c r="S333" i="40"/>
  <c r="T333" i="40"/>
  <c r="U333" i="40"/>
  <c r="O334" i="40"/>
  <c r="O335" i="40"/>
  <c r="O336" i="40"/>
  <c r="O337" i="40"/>
  <c r="O338" i="40"/>
  <c r="O339" i="40"/>
  <c r="I340" i="40"/>
  <c r="J340" i="40"/>
  <c r="K340" i="40"/>
  <c r="L340" i="40"/>
  <c r="M340" i="40"/>
  <c r="N340" i="40"/>
  <c r="P340" i="40"/>
  <c r="Q340" i="40"/>
  <c r="R340" i="40"/>
  <c r="S340" i="40"/>
  <c r="T340" i="40"/>
  <c r="U340" i="40"/>
  <c r="O341" i="40"/>
  <c r="O342" i="40"/>
  <c r="O343" i="40"/>
  <c r="O344" i="40"/>
  <c r="O345" i="40"/>
  <c r="O346" i="40"/>
  <c r="I347" i="40"/>
  <c r="J347" i="40"/>
  <c r="K347" i="40"/>
  <c r="L347" i="40"/>
  <c r="M347" i="40"/>
  <c r="N347" i="40"/>
  <c r="P347" i="40"/>
  <c r="Q347" i="40"/>
  <c r="R347" i="40"/>
  <c r="S347" i="40"/>
  <c r="T347" i="40"/>
  <c r="U347" i="40"/>
  <c r="O348" i="40"/>
  <c r="O349" i="40"/>
  <c r="O350" i="40"/>
  <c r="O351" i="40"/>
  <c r="O352" i="40"/>
  <c r="O353" i="40"/>
  <c r="I354" i="40"/>
  <c r="J354" i="40"/>
  <c r="K354" i="40"/>
  <c r="L354" i="40"/>
  <c r="M354" i="40"/>
  <c r="N354" i="40"/>
  <c r="P354" i="40"/>
  <c r="Q354" i="40"/>
  <c r="R354" i="40"/>
  <c r="S354" i="40"/>
  <c r="T354" i="40"/>
  <c r="U354" i="40"/>
  <c r="O355" i="40"/>
  <c r="O356" i="40"/>
  <c r="O357" i="40"/>
  <c r="O358" i="40"/>
  <c r="O359" i="40"/>
  <c r="O360" i="40"/>
  <c r="I361" i="40"/>
  <c r="J361" i="40"/>
  <c r="K361" i="40"/>
  <c r="L361" i="40"/>
  <c r="M361" i="40"/>
  <c r="N361" i="40"/>
  <c r="P361" i="40"/>
  <c r="Q361" i="40"/>
  <c r="R361" i="40"/>
  <c r="S361" i="40"/>
  <c r="T361" i="40"/>
  <c r="U361" i="40"/>
  <c r="O362" i="40"/>
  <c r="O363" i="40"/>
  <c r="O364" i="40"/>
  <c r="O365" i="40"/>
  <c r="O366" i="40"/>
  <c r="O367" i="40"/>
  <c r="I368" i="40"/>
  <c r="J368" i="40"/>
  <c r="K368" i="40"/>
  <c r="L368" i="40"/>
  <c r="M368" i="40"/>
  <c r="N368" i="40"/>
  <c r="P368" i="40"/>
  <c r="Q368" i="40"/>
  <c r="R368" i="40"/>
  <c r="S368" i="40"/>
  <c r="T368" i="40"/>
  <c r="U368" i="40"/>
  <c r="O369" i="40"/>
  <c r="O370" i="40"/>
  <c r="O371" i="40"/>
  <c r="O372" i="40"/>
  <c r="O373" i="40"/>
  <c r="O374" i="40"/>
  <c r="I375" i="40"/>
  <c r="J375" i="40"/>
  <c r="K375" i="40"/>
  <c r="L375" i="40"/>
  <c r="M375" i="40"/>
  <c r="N375" i="40"/>
  <c r="P375" i="40"/>
  <c r="Q375" i="40"/>
  <c r="R375" i="40"/>
  <c r="S375" i="40"/>
  <c r="T375" i="40"/>
  <c r="U375" i="40"/>
  <c r="O376" i="40"/>
  <c r="O377" i="40"/>
  <c r="O378" i="40"/>
  <c r="O379" i="40"/>
  <c r="O380" i="40"/>
  <c r="O381" i="40"/>
  <c r="I382" i="40"/>
  <c r="J382" i="40"/>
  <c r="K382" i="40"/>
  <c r="L382" i="40"/>
  <c r="M382" i="40"/>
  <c r="N382" i="40"/>
  <c r="P382" i="40"/>
  <c r="Q382" i="40"/>
  <c r="R382" i="40"/>
  <c r="S382" i="40"/>
  <c r="T382" i="40"/>
  <c r="U382" i="40"/>
  <c r="O383" i="40"/>
  <c r="O384" i="40"/>
  <c r="O385" i="40"/>
  <c r="O386" i="40"/>
  <c r="O387" i="40"/>
  <c r="O388" i="40"/>
  <c r="I389" i="40"/>
  <c r="J389" i="40"/>
  <c r="K389" i="40"/>
  <c r="L389" i="40"/>
  <c r="M389" i="40"/>
  <c r="N389" i="40"/>
  <c r="P389" i="40"/>
  <c r="Q389" i="40"/>
  <c r="R389" i="40"/>
  <c r="S389" i="40"/>
  <c r="T389" i="40"/>
  <c r="U389" i="40"/>
  <c r="O390" i="40"/>
  <c r="O391" i="40"/>
  <c r="O392" i="40"/>
  <c r="O393" i="40"/>
  <c r="O394" i="40"/>
  <c r="O395" i="40"/>
  <c r="I396" i="40"/>
  <c r="J396" i="40"/>
  <c r="K396" i="40"/>
  <c r="L396" i="40"/>
  <c r="M396" i="40"/>
  <c r="N396" i="40"/>
  <c r="P396" i="40"/>
  <c r="Q396" i="40"/>
  <c r="R396" i="40"/>
  <c r="S396" i="40"/>
  <c r="T396" i="40"/>
  <c r="U396" i="40"/>
  <c r="I398" i="40"/>
  <c r="J398" i="40"/>
  <c r="K398" i="40"/>
  <c r="L398" i="40"/>
  <c r="M398" i="40"/>
  <c r="N398" i="40"/>
  <c r="P398" i="40"/>
  <c r="Q398" i="40"/>
  <c r="R398" i="40"/>
  <c r="S398" i="40"/>
  <c r="T398" i="40"/>
  <c r="U398" i="40"/>
  <c r="I399" i="40"/>
  <c r="J399" i="40"/>
  <c r="K399" i="40"/>
  <c r="L399" i="40"/>
  <c r="M399" i="40"/>
  <c r="N399" i="40"/>
  <c r="P399" i="40"/>
  <c r="Q399" i="40"/>
  <c r="R399" i="40"/>
  <c r="S399" i="40"/>
  <c r="T399" i="40"/>
  <c r="U399" i="40"/>
  <c r="I400" i="40"/>
  <c r="J400" i="40"/>
  <c r="K400" i="40"/>
  <c r="L400" i="40"/>
  <c r="M400" i="40"/>
  <c r="N400" i="40"/>
  <c r="P400" i="40"/>
  <c r="Q400" i="40"/>
  <c r="R400" i="40"/>
  <c r="S400" i="40"/>
  <c r="T400" i="40"/>
  <c r="U400" i="40"/>
  <c r="I401" i="40"/>
  <c r="J401" i="40"/>
  <c r="K401" i="40"/>
  <c r="L401" i="40"/>
  <c r="M401" i="40"/>
  <c r="N401" i="40"/>
  <c r="P401" i="40"/>
  <c r="Q401" i="40"/>
  <c r="R401" i="40"/>
  <c r="S401" i="40"/>
  <c r="T401" i="40"/>
  <c r="U401" i="40"/>
  <c r="I402" i="40"/>
  <c r="J402" i="40"/>
  <c r="K402" i="40"/>
  <c r="L402" i="40"/>
  <c r="M402" i="40"/>
  <c r="N402" i="40"/>
  <c r="P402" i="40"/>
  <c r="Q402" i="40"/>
  <c r="R402" i="40"/>
  <c r="S402" i="40"/>
  <c r="T402" i="40"/>
  <c r="U402" i="40"/>
  <c r="I403" i="40"/>
  <c r="J403" i="40"/>
  <c r="K403" i="40"/>
  <c r="L403" i="40"/>
  <c r="M403" i="40"/>
  <c r="N403" i="40"/>
  <c r="P403" i="40"/>
  <c r="Q403" i="40"/>
  <c r="R403" i="40"/>
  <c r="S403" i="40"/>
  <c r="T403" i="40"/>
  <c r="U403" i="40"/>
  <c r="I409" i="40"/>
  <c r="I415" i="40" s="1"/>
  <c r="J409" i="40"/>
  <c r="K409" i="40"/>
  <c r="K415" i="40" s="1"/>
  <c r="L409" i="40"/>
  <c r="M409" i="40"/>
  <c r="N409" i="40"/>
  <c r="N415" i="40" s="1"/>
  <c r="P409" i="40"/>
  <c r="Q409" i="40"/>
  <c r="R409" i="40"/>
  <c r="S409" i="40"/>
  <c r="T409" i="40"/>
  <c r="U409" i="40"/>
  <c r="I410" i="40"/>
  <c r="J410" i="40"/>
  <c r="K410" i="40"/>
  <c r="L410" i="40"/>
  <c r="M410" i="40"/>
  <c r="N410" i="40"/>
  <c r="P410" i="40"/>
  <c r="Q410" i="40"/>
  <c r="R410" i="40"/>
  <c r="S410" i="40"/>
  <c r="T410" i="40"/>
  <c r="U410" i="40"/>
  <c r="I411" i="40"/>
  <c r="J411" i="40"/>
  <c r="K411" i="40"/>
  <c r="L411" i="40"/>
  <c r="M411" i="40"/>
  <c r="N411" i="40"/>
  <c r="P411" i="40"/>
  <c r="Q411" i="40"/>
  <c r="R411" i="40"/>
  <c r="S411" i="40"/>
  <c r="T411" i="40"/>
  <c r="U411" i="40"/>
  <c r="I412" i="40"/>
  <c r="J412" i="40"/>
  <c r="K412" i="40"/>
  <c r="L412" i="40"/>
  <c r="M412" i="40"/>
  <c r="N412" i="40"/>
  <c r="P412" i="40"/>
  <c r="Q412" i="40"/>
  <c r="R412" i="40"/>
  <c r="S412" i="40"/>
  <c r="T412" i="40"/>
  <c r="U412" i="40"/>
  <c r="I413" i="40"/>
  <c r="J413" i="40"/>
  <c r="K413" i="40"/>
  <c r="L413" i="40"/>
  <c r="M413" i="40"/>
  <c r="N413" i="40"/>
  <c r="P413" i="40"/>
  <c r="Q413" i="40"/>
  <c r="R413" i="40"/>
  <c r="S413" i="40"/>
  <c r="T413" i="40"/>
  <c r="U413" i="40"/>
  <c r="I414" i="40"/>
  <c r="K414" i="40"/>
  <c r="L414" i="40"/>
  <c r="M414" i="40"/>
  <c r="N414" i="40"/>
  <c r="P414" i="40"/>
  <c r="Q414" i="40"/>
  <c r="R414" i="40"/>
  <c r="S414" i="40"/>
  <c r="T414" i="40"/>
  <c r="U414" i="40"/>
  <c r="O414" i="40" l="1"/>
  <c r="O291" i="40"/>
  <c r="J284" i="40"/>
  <c r="J397" i="40" s="1"/>
  <c r="O193" i="40"/>
  <c r="Q397" i="40"/>
  <c r="O179" i="40"/>
  <c r="U415" i="40"/>
  <c r="O136" i="40"/>
  <c r="S38" i="40"/>
  <c r="O42" i="40"/>
  <c r="R38" i="40"/>
  <c r="R404" i="40" s="1"/>
  <c r="R405" i="40" s="1"/>
  <c r="M165" i="40"/>
  <c r="O40" i="40"/>
  <c r="M415" i="40"/>
  <c r="O319" i="40"/>
  <c r="O52" i="40"/>
  <c r="O39" i="40"/>
  <c r="U165" i="40"/>
  <c r="O409" i="40"/>
  <c r="O164" i="40"/>
  <c r="Q415" i="40"/>
  <c r="J415" i="40"/>
  <c r="O186" i="40"/>
  <c r="O80" i="40"/>
  <c r="P415" i="40"/>
  <c r="O200" i="40"/>
  <c r="I397" i="40"/>
  <c r="O150" i="40"/>
  <c r="O399" i="40"/>
  <c r="O340" i="40"/>
  <c r="O326" i="40"/>
  <c r="N397" i="40"/>
  <c r="U397" i="40"/>
  <c r="O403" i="40"/>
  <c r="O122" i="40"/>
  <c r="O66" i="40"/>
  <c r="Q38" i="40"/>
  <c r="O37" i="40"/>
  <c r="J38" i="40"/>
  <c r="O382" i="40"/>
  <c r="M397" i="40"/>
  <c r="M404" i="40" s="1"/>
  <c r="M405" i="40" s="1"/>
  <c r="T397" i="40"/>
  <c r="O402" i="40"/>
  <c r="O108" i="40"/>
  <c r="I38" i="40"/>
  <c r="L415" i="40"/>
  <c r="O242" i="40"/>
  <c r="L397" i="40"/>
  <c r="S397" i="40"/>
  <c r="O401" i="40"/>
  <c r="O171" i="40"/>
  <c r="O166" i="40"/>
  <c r="U38" i="40"/>
  <c r="O44" i="40"/>
  <c r="O15" i="40"/>
  <c r="O16" i="40" s="1"/>
  <c r="S165" i="40"/>
  <c r="O169" i="40"/>
  <c r="O413" i="40"/>
  <c r="P397" i="40"/>
  <c r="O207" i="40"/>
  <c r="O157" i="40"/>
  <c r="O143" i="40"/>
  <c r="R165" i="40"/>
  <c r="O168" i="40"/>
  <c r="O389" i="40"/>
  <c r="O361" i="40"/>
  <c r="O347" i="40"/>
  <c r="O333" i="40"/>
  <c r="O305" i="40"/>
  <c r="O412" i="40"/>
  <c r="O129" i="40"/>
  <c r="O115" i="40"/>
  <c r="O101" i="40"/>
  <c r="O87" i="40"/>
  <c r="O73" i="40"/>
  <c r="Q165" i="40"/>
  <c r="O167" i="40"/>
  <c r="T415" i="40"/>
  <c r="O375" i="40"/>
  <c r="O411" i="40"/>
  <c r="I165" i="40"/>
  <c r="P165" i="40"/>
  <c r="S415" i="40"/>
  <c r="O398" i="40"/>
  <c r="O249" i="40"/>
  <c r="O235" i="40"/>
  <c r="R415" i="40"/>
  <c r="L38" i="40"/>
  <c r="L404" i="40" s="1"/>
  <c r="L405" i="40" s="1"/>
  <c r="O41" i="40"/>
  <c r="K38" i="40"/>
  <c r="O396" i="40"/>
  <c r="O368" i="40"/>
  <c r="O354" i="40"/>
  <c r="O312" i="40"/>
  <c r="O298" i="40"/>
  <c r="K397" i="40"/>
  <c r="R397" i="40"/>
  <c r="O400" i="40"/>
  <c r="T165" i="40"/>
  <c r="N165" i="40"/>
  <c r="T38" i="40"/>
  <c r="O43" i="40"/>
  <c r="L165" i="40"/>
  <c r="K165" i="40"/>
  <c r="O94" i="40"/>
  <c r="O170" i="40"/>
  <c r="P404" i="40"/>
  <c r="P405" i="40" s="1"/>
  <c r="O410" i="40"/>
  <c r="O59" i="40"/>
  <c r="O30" i="40"/>
  <c r="S404" i="40" l="1"/>
  <c r="S405" i="40" s="1"/>
  <c r="U404" i="40"/>
  <c r="U405" i="40" s="1"/>
  <c r="O415" i="40"/>
  <c r="I404" i="40"/>
  <c r="I405" i="40" s="1"/>
  <c r="Q404" i="40"/>
  <c r="Q405" i="40" s="1"/>
  <c r="O397" i="40"/>
  <c r="N404" i="40"/>
  <c r="N405" i="40" s="1"/>
  <c r="T404" i="40"/>
  <c r="T405" i="40" s="1"/>
  <c r="J404" i="40"/>
  <c r="J405" i="40" s="1"/>
  <c r="O38" i="40"/>
  <c r="K404" i="40"/>
  <c r="K405" i="40" s="1"/>
  <c r="O165" i="40"/>
  <c r="O404" i="40" s="1"/>
  <c r="O405" i="40" s="1"/>
  <c r="C26" i="24"/>
  <c r="G37" i="39" l="1"/>
  <c r="I39" i="39"/>
  <c r="G38" i="39"/>
  <c r="I38" i="39" s="1"/>
  <c r="F38" i="39"/>
  <c r="E38" i="39"/>
  <c r="D38" i="39"/>
  <c r="C38" i="39"/>
  <c r="I37" i="39"/>
  <c r="F37" i="39"/>
  <c r="E37" i="39"/>
  <c r="C37" i="39"/>
  <c r="I36" i="39"/>
  <c r="H36" i="39"/>
  <c r="I35" i="39"/>
  <c r="H35" i="39"/>
  <c r="I34" i="39"/>
  <c r="H34" i="39"/>
  <c r="I33" i="39"/>
  <c r="H33" i="39"/>
  <c r="H32" i="39"/>
  <c r="I31" i="39"/>
  <c r="H31" i="39"/>
  <c r="I30" i="39"/>
  <c r="H30" i="39"/>
  <c r="I29" i="39"/>
  <c r="H29" i="39"/>
  <c r="H38" i="39" s="1"/>
  <c r="I27" i="39"/>
  <c r="H27" i="39"/>
  <c r="D27" i="39"/>
  <c r="I26" i="39"/>
  <c r="H26" i="39"/>
  <c r="D26" i="39"/>
  <c r="I25" i="39"/>
  <c r="H25" i="39"/>
  <c r="D25" i="39"/>
  <c r="I24" i="39"/>
  <c r="H24" i="39"/>
  <c r="D24" i="39"/>
  <c r="I23" i="39"/>
  <c r="H23" i="39"/>
  <c r="D23" i="39"/>
  <c r="H22" i="39"/>
  <c r="I21" i="39"/>
  <c r="H21" i="39"/>
  <c r="D21" i="39"/>
  <c r="I20" i="39"/>
  <c r="H20" i="39"/>
  <c r="D20" i="39"/>
  <c r="I19" i="39"/>
  <c r="H19" i="39"/>
  <c r="D19" i="39"/>
  <c r="I18" i="39"/>
  <c r="H18" i="39"/>
  <c r="D18" i="39"/>
  <c r="I17" i="39"/>
  <c r="H17" i="39"/>
  <c r="D17" i="39"/>
  <c r="I16" i="39"/>
  <c r="H16" i="39"/>
  <c r="D16" i="39"/>
  <c r="I15" i="39"/>
  <c r="H15" i="39"/>
  <c r="D15" i="39"/>
  <c r="I14" i="39"/>
  <c r="H14" i="39"/>
  <c r="D14" i="39"/>
  <c r="I13" i="39"/>
  <c r="H13" i="39"/>
  <c r="D13" i="39"/>
  <c r="I12" i="39"/>
  <c r="H12" i="39"/>
  <c r="D12" i="39"/>
  <c r="I11" i="39"/>
  <c r="H11" i="39"/>
  <c r="D11" i="39"/>
  <c r="I10" i="39"/>
  <c r="H10" i="39"/>
  <c r="D10" i="39"/>
  <c r="I9" i="39"/>
  <c r="H9" i="39"/>
  <c r="D9" i="39"/>
  <c r="I8" i="39"/>
  <c r="H8" i="39"/>
  <c r="H5" i="39" s="1"/>
  <c r="D8" i="39"/>
  <c r="I7" i="39"/>
  <c r="H7" i="39"/>
  <c r="D7" i="39"/>
  <c r="I6" i="39"/>
  <c r="H6" i="39"/>
  <c r="D6" i="39"/>
  <c r="D37" i="39" s="1"/>
  <c r="G5" i="39"/>
  <c r="I5" i="39" s="1"/>
  <c r="F5" i="39"/>
  <c r="F28" i="39" s="1"/>
  <c r="E5" i="39"/>
  <c r="E28" i="39" s="1"/>
  <c r="D5" i="39"/>
  <c r="D28" i="39" s="1"/>
  <c r="C5" i="39"/>
  <c r="C28" i="39" s="1"/>
  <c r="H37" i="39" l="1"/>
  <c r="G28" i="39"/>
  <c r="I28" i="39" l="1"/>
  <c r="H28" i="39"/>
  <c r="C11" i="37" l="1"/>
  <c r="C63" i="37"/>
  <c r="C65" i="37" s="1"/>
  <c r="C59" i="37"/>
  <c r="C61" i="37" s="1"/>
  <c r="C55" i="37"/>
  <c r="C57" i="37" s="1"/>
  <c r="C51" i="37"/>
  <c r="C46" i="37"/>
  <c r="C53" i="37" s="1"/>
  <c r="C41" i="37"/>
  <c r="C39" i="37"/>
  <c r="C36" i="37"/>
  <c r="C34" i="37"/>
  <c r="C32" i="37"/>
  <c r="C28" i="37"/>
  <c r="C23" i="37"/>
  <c r="C7" i="37"/>
  <c r="C44" i="37" l="1"/>
  <c r="C69" i="37"/>
  <c r="C62" i="24" l="1"/>
  <c r="C52" i="24"/>
  <c r="C44" i="24"/>
  <c r="C33" i="24"/>
  <c r="C29" i="24"/>
  <c r="C70" i="24" s="1"/>
  <c r="B26" i="24"/>
  <c r="B29" i="24" s="1"/>
  <c r="B70" i="24" s="1"/>
  <c r="H17" i="36" l="1"/>
  <c r="H12" i="36"/>
  <c r="H6" i="36"/>
  <c r="H30" i="36" l="1"/>
  <c r="E14" i="34" l="1"/>
  <c r="E9" i="34"/>
  <c r="E18" i="34" l="1"/>
</calcChain>
</file>

<file path=xl/sharedStrings.xml><?xml version="1.0" encoding="utf-8"?>
<sst xmlns="http://schemas.openxmlformats.org/spreadsheetml/2006/main" count="1649" uniqueCount="801">
  <si>
    <t>Kodas</t>
  </si>
  <si>
    <t>tikslo</t>
  </si>
  <si>
    <t>uždavinio</t>
  </si>
  <si>
    <t>priemonės</t>
  </si>
  <si>
    <t>01</t>
  </si>
  <si>
    <t>P</t>
  </si>
  <si>
    <t>02</t>
  </si>
  <si>
    <t>1</t>
  </si>
  <si>
    <t>Iš viso</t>
  </si>
  <si>
    <t>03</t>
  </si>
  <si>
    <t>2</t>
  </si>
  <si>
    <t>4</t>
  </si>
  <si>
    <t>3</t>
  </si>
  <si>
    <t>PP</t>
  </si>
  <si>
    <t>Priemonės požymis</t>
  </si>
  <si>
    <t>Priemonės pavadinimas ir detalizacija</t>
  </si>
  <si>
    <t>TP</t>
  </si>
  <si>
    <t>Projektinės veiklos organizavimas</t>
  </si>
  <si>
    <t>Projektinei dokumentacijai (investicijų projektų, energetinių auditų, galimybių studijų ir kitiems projektams būtiniems įgyvendinti dokumentams) Europos Sąjungos fondų, programų ir kitų finansavimo šaltinių priemonių paramai gauti parengti bei projektų bendrafinansavimui</t>
  </si>
  <si>
    <t>Sukurto turto pagal įgyvendintus ES projektus draudimas</t>
  </si>
  <si>
    <t>Bendradarbiavimo ryšių su Lietuvos ir užsienio šalių institucijomis ir organizacijomis stiprinimas bei bendrų projektų rengimas ir įgyvendinimas</t>
  </si>
  <si>
    <t>Narystės mokesčiai: Plungės miesto, Plungės rajono VVG ir kt.</t>
  </si>
  <si>
    <t>T</t>
  </si>
  <si>
    <t>Smulkiojo ir vidutinio verslo subjektų rėmimas</t>
  </si>
  <si>
    <t>Bendradarbystės centro "Spiečius" veiklos organizavimas</t>
  </si>
  <si>
    <t>Patalpų išlaikymas (nuoma, šildymas, elektra)</t>
  </si>
  <si>
    <t>Paslaugos (apsauga, internetas, valymas, draudimas)</t>
  </si>
  <si>
    <t>Spiečiaus paslaugos (informaciniai, verslumo įgūdžių renginiai, atviros durys, akseleravimo programa)</t>
  </si>
  <si>
    <t>Bendruomeninių organizacijų veiklos rėmimas</t>
  </si>
  <si>
    <t>Plungės kraštui</t>
  </si>
  <si>
    <t>Bendruomeninės veiklos savivaldybėje stiprinimas</t>
  </si>
  <si>
    <t>"Sumanūs kaimai" strategijos rengimas</t>
  </si>
  <si>
    <t>Plungės dekanato aptarnaujamų parapijų rėmimas</t>
  </si>
  <si>
    <t>Iš viso priemonėms:</t>
  </si>
  <si>
    <t>Savivaldybės biudžeto lėšų poreikis 2026 m. (tūkst. Eur)</t>
  </si>
  <si>
    <t>Reprezentacinės išlaidos</t>
  </si>
  <si>
    <t>Pavadinimas</t>
  </si>
  <si>
    <t>KOMPENSACIJA BŪSTO ŠILDYMUI</t>
  </si>
  <si>
    <t>KARŠTAS VANDUO</t>
  </si>
  <si>
    <t xml:space="preserve">ŠALTAS VANDUO  </t>
  </si>
  <si>
    <t xml:space="preserve">Kredito daugiab.namų atnaujinimui </t>
  </si>
  <si>
    <t>Darbo užmokestis</t>
  </si>
  <si>
    <t xml:space="preserve">Darbo užmokestis  </t>
  </si>
  <si>
    <t xml:space="preserve">Soc.įmokos           </t>
  </si>
  <si>
    <t xml:space="preserve">Medik. ir medic.patik. </t>
  </si>
  <si>
    <t xml:space="preserve">Ryšių paslaugos </t>
  </si>
  <si>
    <t xml:space="preserve">Komandiruotės  </t>
  </si>
  <si>
    <t xml:space="preserve">Kvalifikacijos kėlimas </t>
  </si>
  <si>
    <t>Komunalinių paslaugų įsig.išl.</t>
  </si>
  <si>
    <t>Informacinių technologijų įsig.išl.</t>
  </si>
  <si>
    <t xml:space="preserve">Reprezentacinės išlaidos </t>
  </si>
  <si>
    <t xml:space="preserve">Viešinimo išlaidos </t>
  </si>
  <si>
    <t xml:space="preserve">Kitų prekių ir pasl.įs.išl. </t>
  </si>
  <si>
    <t xml:space="preserve">Darbdavio soc.paramai </t>
  </si>
  <si>
    <t xml:space="preserve">Socialinės pašalpos </t>
  </si>
  <si>
    <t>Pagalbos pinigai</t>
  </si>
  <si>
    <t>Vienkartinės pašalpos</t>
  </si>
  <si>
    <t>Vietinė rinkliava</t>
  </si>
  <si>
    <t>Socialinės globos paslaugos</t>
  </si>
  <si>
    <t xml:space="preserve">IŠ VISO PRIEMONĖJE: </t>
  </si>
  <si>
    <t>SOCIALINIŲ PASLAUGŲ ORGANIZAVIMAS</t>
  </si>
  <si>
    <t>Akredituota soc. priežiūra</t>
  </si>
  <si>
    <t>BŪSTO PRITAIKYMAS ASMENIMS SU NEGALIA ORGANIZAVIMAS</t>
  </si>
  <si>
    <t>Būsto pritaikymas asmenims su negalia organizavimas</t>
  </si>
  <si>
    <t xml:space="preserve"> NVO PROJEKTŲ TEIKIANT SOCIALINES PASLAUGAS BENDRUOMENĖJE FINANSAVIMAS</t>
  </si>
  <si>
    <t>Pagyvenusių žmonių klubas "Pilnatis"</t>
  </si>
  <si>
    <t>Plungės r. buvusių tremtinių NVO "Paliesti tremties"</t>
  </si>
  <si>
    <t>Sutrikusio intelekto žmonių globos bendrija "Plungės viltis"</t>
  </si>
  <si>
    <t>VšĮ Plungės vyrų krizių centras</t>
  </si>
  <si>
    <t>Transporto paslaugos</t>
  </si>
  <si>
    <t>NVO automobilis (CD klubas)</t>
  </si>
  <si>
    <t>SOCIALINĖS REABILITACIJOS PASLAUGŲ ASMENIMS SU NEGALIA BENDRUOMENĖJE ORGANIZAVIMAS</t>
  </si>
  <si>
    <t>VšĮ LASS šiaurės rytų centras</t>
  </si>
  <si>
    <t>Plungės sergančiųjų CD klubas</t>
  </si>
  <si>
    <t>Plungės rajono neįgaliųjų draugija</t>
  </si>
  <si>
    <t>Telšių apskr. sergančiųjų nervų - raum. ligų asociacija</t>
  </si>
  <si>
    <t>Cerebrinio paralyž. asociacijos Plungės skyrius</t>
  </si>
  <si>
    <t>Žemaitijos psichikos negalią turinčių žmonių "Telšių atjauta"</t>
  </si>
  <si>
    <t xml:space="preserve">AKREDITUOTOS VAIKŲ DIENOS SOCIALINĖS PRIEŽIŪROS ORGANIZAVIMAS </t>
  </si>
  <si>
    <t xml:space="preserve">VšĮ Šateikių dienos centras </t>
  </si>
  <si>
    <t>VšĮ "Plungės Cyrulis"</t>
  </si>
  <si>
    <t>VšĮ "Vilties vėrinėliai"</t>
  </si>
  <si>
    <t>VšĮ "Edukacija Kitaip" (Alsėdžių vdc)</t>
  </si>
  <si>
    <t>Asociacijos Varkalių bendruomenės vdc</t>
  </si>
  <si>
    <t>Stalgėnų sen. šeimų bendr. "Gija" vdc</t>
  </si>
  <si>
    <t>Nepriskirti/vaikams su negalia</t>
  </si>
  <si>
    <t>Draugauk ir Mes</t>
  </si>
  <si>
    <t>BENDRUOMENĖS CENTRO PROGRAMOS ĮGYVENDINIMAS</t>
  </si>
  <si>
    <t xml:space="preserve"> Bendruomenės centras</t>
  </si>
  <si>
    <t>Socialinės dirbtuvės</t>
  </si>
  <si>
    <t>LAIKINO ATOKVĖPIO PASLAUGOS ORGANIZAVIMAS</t>
  </si>
  <si>
    <t>Laikino atokvėpio paslaugos organizavimas</t>
  </si>
  <si>
    <t>IŠ VISO PREMONĖJE:</t>
  </si>
  <si>
    <t>Iš viso SAVIVALDYBĖS FUNKCIJOS:</t>
  </si>
  <si>
    <t>Eil. Nr.</t>
  </si>
  <si>
    <t>Veiklos</t>
  </si>
  <si>
    <t>Plungės m. istorinio centro pastatų fasadų tvarkymo finansavimo programa</t>
  </si>
  <si>
    <t>Prisidėjimas prie projekto parengimo „Šv. evangelisto Morkaus bažnyčios (u. k. 16046) Plungės r. sav., Šateikių k., Bažnyčios g. 2, fasadų ir stogo paveldo tvarkybos darbų projekto parengimas ir tyrimų atlikimas“</t>
  </si>
  <si>
    <t>Plungės rajono kryždirbystės paveldo priežiūra, remontas, atkūrimas</t>
  </si>
  <si>
    <t>Kulių žydų žudynių vietos ir kapo sutvarkymas</t>
  </si>
  <si>
    <t>Archeologiniai tyrimai Šateikių dvaro parko teritorijoje</t>
  </si>
  <si>
    <t>Kulių mstl. mūrinės koplytėlės restauracinio atkūrimo projekto parengimas</t>
  </si>
  <si>
    <t>Prisidėjimas prie kultūros paveldo projektų (mokslinių tyrimų, leidybos, ekspedicijų)</t>
  </si>
  <si>
    <t xml:space="preserve">Renginiai, viešinimas kultūros paveldui populiarinti </t>
  </si>
  <si>
    <t xml:space="preserve">Iš viso </t>
  </si>
  <si>
    <t>Bendruomeninių ir nevyriausybinių organizacijų tarybų veiklos rėmimas</t>
  </si>
  <si>
    <t>3 lentelė</t>
  </si>
  <si>
    <t>Programa</t>
  </si>
  <si>
    <t>Priemonė</t>
  </si>
  <si>
    <t>Objektas</t>
  </si>
  <si>
    <t>Objekto planuojama suma</t>
  </si>
  <si>
    <t>003 Teritorijų planavimo programa</t>
  </si>
  <si>
    <t>02 Architektūros ir teritorijų planavimo proceso organizavimas (TP)</t>
  </si>
  <si>
    <t>Architektūros kokybės vertinimo gairių parengimas</t>
  </si>
  <si>
    <t>1991 m. rugpjūčio 19–21 dienų įvykių įamžinimui idėjos įgyvendinimo paslaugos</t>
  </si>
  <si>
    <t>03 Savivaldybės infrastruktūros objektų pagerinimo ir plėtros projektinės dokumentacijos rengimas (PP)</t>
  </si>
  <si>
    <t>Kultūros paskirties pastato, Plungės r. sav., Žlibinų sen., Žlibinų k., Žarėnų g. 46, kapitalinio remonto projekto parengimas, pritaikant patalpas administracinei paskirčiai</t>
  </si>
  <si>
    <t>Vaikų lopšelio-darželio „Rūtelė“, Plungės m., A. Jucio g. 38, pastato atnaujinimo (modernizavimo) projekto parengimo bei projekto vykdymo priežiūros paslaugos</t>
  </si>
  <si>
    <t>Vaikų lopšelio-darželio, Plungės m., V. Mačernio g. 47B, kapitalinio remonto projekto parengimo bei projekto vykdymo priežiūros paslaugos</t>
  </si>
  <si>
    <t>Smurtine mirtimi mirusių gabenimas į ekspert.</t>
  </si>
  <si>
    <t>VISO:</t>
  </si>
  <si>
    <t>Apsaugotas būstas</t>
  </si>
  <si>
    <t>Projektinės dokumentacijos parengimo ir ekspertavimo paslaugos</t>
  </si>
  <si>
    <t>Uždavinio ir priemonės požymis</t>
  </si>
  <si>
    <t>Projekto Eil. Nr.</t>
  </si>
  <si>
    <t>Tikslo/uždavinio/priemonės/projekto pavadinimas</t>
  </si>
  <si>
    <t>Asignavimų valdytojas</t>
  </si>
  <si>
    <t>Finansavimo šaltiniai</t>
  </si>
  <si>
    <t>2025 m. likučiai</t>
  </si>
  <si>
    <t xml:space="preserve">Iš jų </t>
  </si>
  <si>
    <t>Planuojami   2026-ųjų m. asignavimai ir kitos lėšos</t>
  </si>
  <si>
    <t>Iš jų</t>
  </si>
  <si>
    <t>2026 m. biudžete su likučiais</t>
  </si>
  <si>
    <t>Planuojami  2027-ųjų m. asignavimai ir kitos lėšos</t>
  </si>
  <si>
    <t>Planuojami  2028-ųjų m. asignavimai ir kitos lėšos</t>
  </si>
  <si>
    <t>DU (be sodros)</t>
  </si>
  <si>
    <t>tinkamos (aktualu tik P)</t>
  </si>
  <si>
    <t>netinkamos  (aktualu tik P)</t>
  </si>
  <si>
    <t xml:space="preserve">DU (be sodros) </t>
  </si>
  <si>
    <t>Užtikrinti kompleksišką  ir subalansuotą savivaldybės raidą</t>
  </si>
  <si>
    <t>Kurti palankią  aplinką investicijoms ir gyvenimo gerovei</t>
  </si>
  <si>
    <t>TE</t>
  </si>
  <si>
    <t>Investicijų ir kitų projektų, skirtų 2014-2020 m. nacionalinei pažangos programai/ ES fondų investicijų programai, vykdymas</t>
  </si>
  <si>
    <t>Integralios pagalbos teikimas ir plėtra Lietuvos savivaldybėse</t>
  </si>
  <si>
    <t>271759610
Plungės socialinių paslaugų centras</t>
  </si>
  <si>
    <t>SB</t>
  </si>
  <si>
    <t>SB (VB)</t>
  </si>
  <si>
    <t>SB (SP)</t>
  </si>
  <si>
    <t>SB (AA)</t>
  </si>
  <si>
    <t>ES</t>
  </si>
  <si>
    <t>2016-07-28 T1-204
SPP 1.5.2</t>
  </si>
  <si>
    <t>Iš viso priemonei:</t>
  </si>
  <si>
    <t xml:space="preserve">Savivaldybės biudžeto lėšos </t>
  </si>
  <si>
    <t>Iš viso priemonei</t>
  </si>
  <si>
    <t>Valstybės biudžeto dotacijos lėšos</t>
  </si>
  <si>
    <t xml:space="preserve">Pajamos už prekes ir paslaugos </t>
  </si>
  <si>
    <t xml:space="preserve">Savivaldybės aplinkos apsaugos rėmimo specialiosios programos lėšos </t>
  </si>
  <si>
    <t>Paskolos lėšos</t>
  </si>
  <si>
    <t>Europos Sąjungos paramos lėšos</t>
  </si>
  <si>
    <t>TI</t>
  </si>
  <si>
    <t>Tęstinių investicijų ir kitų projektų vykdymas (pereinamojo laikotarpio)</t>
  </si>
  <si>
    <t>Universalaus sporto ir sveikatingumo komplekso Plungėje, Mendeno g. 1 C , statyba  (II etapas)</t>
  </si>
  <si>
    <t>2024-02-08 T1-42; 
SPP 4.1.3.</t>
  </si>
  <si>
    <t xml:space="preserve">Plungės r. Kulių gimnazijos Aušros g. 24, Kuliai, Plungės r. remontas </t>
  </si>
  <si>
    <t>2024-02-08 T1-42 
SPP 1.2.4.</t>
  </si>
  <si>
    <t>04</t>
  </si>
  <si>
    <t>RP</t>
  </si>
  <si>
    <t>Investicijų  projektų, numatytų 2022-2030 m. Telšių regiono plėtros plane, vykdymas</t>
  </si>
  <si>
    <t>Vandens tiekimo ir nuotekų tvarkymo infrastruktūros plėtra ir rekonstrukcija Plungės rajone</t>
  </si>
  <si>
    <t xml:space="preserve">2024-06-24 T1-184
SPP 1.8.1 ir 1.8.3 </t>
  </si>
  <si>
    <t>Rūšiuojamojo atliekų surinkimo skatinimas Telšių regione</t>
  </si>
  <si>
    <t>2024-06-24 T1-185
SPP 1.8.2 
proj. Nr. 02-001-06-10-01_RE
Finansavimo sutartis 2025-06-05.</t>
  </si>
  <si>
    <t>Plungės rajono savivaldybės gyventojų sveikatos raštingumo didinimas</t>
  </si>
  <si>
    <t>302415311
Visuomenės sveikatos biuras</t>
  </si>
  <si>
    <t>2024-03-28 T1-51
SPP 1.1.1 ir 1.1.3
Finansavimo sutartis 2025-07-01.</t>
  </si>
  <si>
    <t>Stacionarinės slaugos paslaugų asmenims, sergantiems Alzheimerio liga ir senatvine demencija infrastruktūros modernizavimas Plungės rajono savivaldybėje</t>
  </si>
  <si>
    <t xml:space="preserve">2025-09-25 T1-270
SPP 1.5.1 ir 1.5.2 </t>
  </si>
  <si>
    <t>5</t>
  </si>
  <si>
    <t>Socialinių paslaugų infrastruktūros ir paslaugų plėtra Plungės rajono savivaldybėje</t>
  </si>
  <si>
    <t xml:space="preserve">SPP 1.5.3 </t>
  </si>
  <si>
    <t>6</t>
  </si>
  <si>
    <t>Grupinio gyvenimo namų infrastruktūros plėtra Plungės rajono savivaldybėje</t>
  </si>
  <si>
    <t>2024-06-27 T1-170
SPP 1.5.2
Finansavimo sutartis 2024-12-17.</t>
  </si>
  <si>
    <t>7</t>
  </si>
  <si>
    <t>Apsaugoto būsto infrastruktūros plėtra Plungės rajono savivaldybėje</t>
  </si>
  <si>
    <t>2024-04-25 T1-100
SPP 1.5.1 
Finansavimo sutartis 2024-10-11.</t>
  </si>
  <si>
    <t>8</t>
  </si>
  <si>
    <t>Švietimo paslaugų kokybės ir prieinamumo gerinimas Plungės rajono savivaldybėje</t>
  </si>
  <si>
    <t>2024-02-08- T1-3
2024-02-08 T1-4
SPP  1.2.5. ir 1.5.4</t>
  </si>
  <si>
    <t>9</t>
  </si>
  <si>
    <t>Regiono savivaldybių bendrieji veiksmai, panaudojant turizmo funkcinius ryšius</t>
  </si>
  <si>
    <t>2025-02-13 T1-50
2025-06-26 T1-193
SPP 4.4.2 ir 4.4.4
Finansavimo sutartis 2025-07-07.</t>
  </si>
  <si>
    <t>10</t>
  </si>
  <si>
    <t>Bendrame regioniniame maršrute „Žemaitijos piliakalniai“ esančių  Gandingos ir Varkalių, Nausodžio piliakalnių kompleksų pritaikymas  lankymui Plungės rajono savivaldybėje</t>
  </si>
  <si>
    <t>2025-09-25 T1-271
SPP 3.3.3</t>
  </si>
  <si>
    <t>11</t>
  </si>
  <si>
    <t>Bendrame regioniniame maršrute "Žemaitijos piliakalniai" esančio Plungės piliakalnio pritaikymas lankymui Plungės rajono savivaldybėje</t>
  </si>
  <si>
    <t>2025-07-31 T1-245
SPP 3.3.3</t>
  </si>
  <si>
    <t>12</t>
  </si>
  <si>
    <t>Bendrame regioniniame maršrute „Gamtos peizažai“ esančio Platelių ežero pritaikymas lankymui Plungės rajono savivaldybėje, Šeirės ir Obelėlės etapai</t>
  </si>
  <si>
    <t xml:space="preserve">2025-09-25 T1-274 
SPP 4.4.3 </t>
  </si>
  <si>
    <t>13</t>
  </si>
  <si>
    <t>Bendrame regioniniame maršrute "Sakralinis kelias" esančių objektų pritaikymas lankymui Plungės rajono savivaldybėje</t>
  </si>
  <si>
    <t xml:space="preserve">SPP 4.2.1 </t>
  </si>
  <si>
    <t>14</t>
  </si>
  <si>
    <t>Bendrame regioniniame maršrute "Oginskių paveldo pažintinis maršrutas“ esančios Plungės dvaro sodybos   pritaikymas lankymui, aktualizuojant M. K. Čiurlionio kelią, Plungės rajono savivaldybėje</t>
  </si>
  <si>
    <t xml:space="preserve">SPP  4.4.5 </t>
  </si>
  <si>
    <t>15</t>
  </si>
  <si>
    <t>Regiono savivaldybių bendrieji veiksmai skatinant investicijas ir verslumą</t>
  </si>
  <si>
    <t xml:space="preserve">2025-02-13 T1-53
2025-06-26 T1-209
SPP 2.1.2 </t>
  </si>
  <si>
    <t>16</t>
  </si>
  <si>
    <t>Plungės miesto pramoninės teritorijos (Salantų g. ir  Pramonės pr.) pritaikymas verslo plėtrai ir naujų investuotojų įsikūrimui</t>
  </si>
  <si>
    <t>SPP 2.1.4</t>
  </si>
  <si>
    <t>17</t>
  </si>
  <si>
    <t>Verslumo, kūrybiškumo ir skaitmeninių kompetencijų ugdymo centro įrengimas Plungėje</t>
  </si>
  <si>
    <t>05</t>
  </si>
  <si>
    <t>Investicijų ir kitų projektų vykdymas (naujo finansavimo periodo)</t>
  </si>
  <si>
    <t xml:space="preserve">Paslaugų centro vaikams įkūrimas Plungės mieste </t>
  </si>
  <si>
    <t>190986017
Specialiojo ugdymo centras</t>
  </si>
  <si>
    <t>2020-07-30 T1-160 
SPP 1.5.2</t>
  </si>
  <si>
    <t xml:space="preserve">Daugiabučių namų atnaujinimo (modernizavimas) programa </t>
  </si>
  <si>
    <t>2013-07-25 T1-192
SPP 3.1.1.</t>
  </si>
  <si>
    <t>Tūkstantmečio mokyklos</t>
  </si>
  <si>
    <t>2022-03-24 T1-50
SPP 1.2.6</t>
  </si>
  <si>
    <t xml:space="preserve">Kompleksinės paslaugos (KOPA) </t>
  </si>
  <si>
    <t>171697549
Krizių centras</t>
  </si>
  <si>
    <t>SPP 1.5.2</t>
  </si>
  <si>
    <t>Inkubavimo, konsultavimo, mentorystės ir tinklaveikos programų vystymas, skatinant pradedančiųjų SVV subjektų kūrimąsi ir augimą regionuose</t>
  </si>
  <si>
    <t>2023-11-30 Nr. T1-317
2023-12-18 partnerystės sutartimi Nr. A1-87 (02-024-K-0007) 
SPP 2.1.6</t>
  </si>
  <si>
    <t>Perėjimas nuo institucinės globos prie bendruomeninių
paslaugų Sostinės regione, Vidurio ir Vakarų Lietuvos regione</t>
  </si>
  <si>
    <t>Vadovaujantis 2024 m. vasario 14 d. sutartimi Nr. A1-7 ir 2024 m. gegužės 3 d. papildomu susitarimu su Asmens su negalia teisių apsaugos agentūra
SPP 1.5</t>
  </si>
  <si>
    <t>Ugdymo priemonės mokykloms</t>
  </si>
  <si>
    <t>2024-05-30 T1-121
SPP 1.2.2.</t>
  </si>
  <si>
    <t>Švietimo pagalbos ir koordinuotai teikiamų paslaugų užtikrinimas</t>
  </si>
  <si>
    <t>2024-07-25 T1-193
SPP 1.2.6</t>
  </si>
  <si>
    <t>Plungės M. Oginskio dvaro sodybos pastato – žirgyno pritaikymas visuomenės kultūros reikmėms (III etapas) 18</t>
  </si>
  <si>
    <t>191123113
ŽDM</t>
  </si>
  <si>
    <t>2023-02-23 T1-52; 
2024-02-08 T1-41
SPP 4.4.5; 4.3.7</t>
  </si>
  <si>
    <t>Inovatyvusis M. Oginskio rūmų žirgynas –  įtraukaus kultūros turinio erdvė. 51</t>
  </si>
  <si>
    <t>191123113
 ŽDM</t>
  </si>
  <si>
    <t>2023-12-21 T1-328
SPP 4.4.5; 4.1.2; 4.3.7</t>
  </si>
  <si>
    <t>Plungės M. Oginskio dvaro žirgyno
pritaikymas menų sintezės laboratorijai</t>
  </si>
  <si>
    <t>2024-07-25 T1-200; 
SPP 4.4.5; 4.1.2; 4.3.7</t>
  </si>
  <si>
    <t>Sveikatos priežiūros specialistų pritraukimas į Plungės rajono savivaldybę</t>
  </si>
  <si>
    <t>2024-07-25 T1-196; 
SPP 1.1.1</t>
  </si>
  <si>
    <t>Sveikatos centro sudėtyje teikiamų sveikatos priežiūros paslaugų infrastruktūros modernizavimas Plungės rajono
savivaldybėje</t>
  </si>
  <si>
    <t>2024-03-28 T1-52
SPP 1.1.5</t>
  </si>
  <si>
    <t>Sveikatos centro veiklos modelio diegimas Plungės rajono savivaldybėje</t>
  </si>
  <si>
    <t>2024-05-26 T1-212
SPP 1.1.5</t>
  </si>
  <si>
    <t>Plungės specialiojo ugdymo centro aprūpinimas, įgyvendinant įtraukųjį švietimą</t>
  </si>
  <si>
    <t>2024-09-26 T1-231
SPP 1.2.6</t>
  </si>
  <si>
    <t>Ankstyvojo ugdymo užtikrinimas vaikams iš socialinę riziką patiriančių šeimų</t>
  </si>
  <si>
    <t>2024-02-08 T1-2
SPP 1.2.5</t>
  </si>
  <si>
    <t>Socialinių paslaugų prieinamumo vyresnio amžiaus žmonėms gerinimas ir tarpvalstybinių ekstremaliųjų situacijų valdymo gebėjimų stiprinimas</t>
  </si>
  <si>
    <t>2025-02-13 T1-15</t>
  </si>
  <si>
    <t>18</t>
  </si>
  <si>
    <t xml:space="preserve">Lopšelio-darželio „Rūtelė“ pastato atnaujinimas, A. Jucio g. 38, Plungėje </t>
  </si>
  <si>
    <t>2025-02-13 T1-51</t>
  </si>
  <si>
    <t>19</t>
  </si>
  <si>
    <t xml:space="preserve">Lopšelio-darželio „Raudonkepuraitė“ pastato atnaujinimas, V. Mačernio g. 47 B, Plungėje </t>
  </si>
  <si>
    <t>20</t>
  </si>
  <si>
    <t>Žlibinų kultūros centro pastato atnaujinimas, Žarėnų g. 46, Žlibinų k., Plungės r. sav.</t>
  </si>
  <si>
    <t>21</t>
  </si>
  <si>
    <t>Dviračių takų įrengimas Žemaitijos gatvės (Plungės r. sav., Babrungo sen.) atkarpoje</t>
  </si>
  <si>
    <t>2025-04-24 T1-138</t>
  </si>
  <si>
    <t>22</t>
  </si>
  <si>
    <t>Dviračių takų įrengimas Dariaus ir Girėno gatvės (Plungėje) atkarpose</t>
  </si>
  <si>
    <t>23</t>
  </si>
  <si>
    <t>Dviračių tako įrengimas Stoties g., Plungėje</t>
  </si>
  <si>
    <t>24</t>
  </si>
  <si>
    <t>Dviračių tako įrengimas Birutės g., Plungėje</t>
  </si>
  <si>
    <t>25</t>
  </si>
  <si>
    <t>Paviršinių nuotekų valymo technologijų diegimas Telšių regiono atliekų mechaninio biologinio apdorojimo įrenginiuose</t>
  </si>
  <si>
    <t>2025-05-29 T1-189</t>
  </si>
  <si>
    <t>26</t>
  </si>
  <si>
    <t>Kompetencijų vystymas, siekiant padėti mažoms ir vidutinėms įmonėms paveldėjimo ir perdavimo procesuose</t>
  </si>
  <si>
    <t>2025-03-27 T1-98</t>
  </si>
  <si>
    <t>27</t>
  </si>
  <si>
    <t>Rietavo gatvės, Plungės m. ir Rietavo gatvės, Pakerų k., Plungės r. sav., kapitalinis remontas įrengiant pėsčiųjų ir dviračių takus;</t>
  </si>
  <si>
    <t>28</t>
  </si>
  <si>
    <t>Mendeno gatvės, Plungės m. remontas įrengiant dviračių takus;</t>
  </si>
  <si>
    <t>29</t>
  </si>
  <si>
    <t>Mendeno gatvės, Varkalių k., Plungės r. sav.,  remontas įrengiant dviračių takus.</t>
  </si>
  <si>
    <t>30</t>
  </si>
  <si>
    <t>Šv. evangelisto Morkaus bažnyčios (u. k. 16046) Plungės r. sav., Šateikių k., Bažnyčios g. 2, fasadų ir stogo paveldo tvarkybos darbų projekto parengimas ir tyrimų atlikimas</t>
  </si>
  <si>
    <t>31</t>
  </si>
  <si>
    <t>32</t>
  </si>
  <si>
    <t>REZERVAS NAUJAI ATSIRADUSIEMS PROJEKTAMS IR NETINKAMOMS IŠLAIDOMS</t>
  </si>
  <si>
    <t>Iš viso uždaviniui</t>
  </si>
  <si>
    <t>Iš viso tikslui</t>
  </si>
  <si>
    <t>Finansavimo šaltinių suvestinė</t>
  </si>
  <si>
    <t>Iš viso programai:</t>
  </si>
  <si>
    <t>LĖŠOS, PLANUOJAMOS 2026 M. BIUDŽETO PROJEKTE STRATEGINIO PLANO 008 INFRASTRUKTŪROS OBJEKTŲ PRIEŽIŪROS IR ŪKINIŲ SUBJEKTŲ RĖMIMO PROGRAMOS PRIEMONĖMS (tūkst. Eur)</t>
  </si>
  <si>
    <t>Priemonės pavadinimas/Veiklos/Projektai</t>
  </si>
  <si>
    <t>Viso, tūkst. Eur:</t>
  </si>
  <si>
    <t>1.</t>
  </si>
  <si>
    <t xml:space="preserve">01 Savivaldybės infrastruktūros objektų planavimas, remontas ir priežiūra </t>
  </si>
  <si>
    <t>1.1.</t>
  </si>
  <si>
    <t>1.2.</t>
  </si>
  <si>
    <t>09 01 01 01 Savivaldybės infrastruktūros objektų planavimas, priežiūra, statyba (Ikimokyklinis ugdymas)</t>
  </si>
  <si>
    <t>Plungės lopšelio-darželio "Nykštukas" struktūrinio tinko remontas, dažymas (~500 m2), HPL plokščių keitimas</t>
  </si>
  <si>
    <t>Plungės lopšelio-darželio "Nykštukas" stogo remonto darbai prie parapetų</t>
  </si>
  <si>
    <t>Plungės lopšelio-darželio "Pasaka" grupės remontas (pelėsio pažeista patalpa)</t>
  </si>
  <si>
    <t>Plungės lopšelio-darželio "Pasaka" pastato fasado plovimas</t>
  </si>
  <si>
    <t>Plungės r. Liepijų mokyklos Šateikių skyriaus pastato buitinių nuotekų tinklų atnaujinimas</t>
  </si>
  <si>
    <t>Plungės r. Liepijų mokyklos Šateikių skyriaus pastato cokolio remontas, pastato drenažo įrengimas</t>
  </si>
  <si>
    <t>1.3.</t>
  </si>
  <si>
    <t>09 02 01 01 Savivaldybės infrastruktūros objektų planavimas, priežiūra, statyba (Pagrindinės mokyklos)</t>
  </si>
  <si>
    <t>Plungės r. Liepijų mokyklos universalaus daugiafunkcinio centro pastato šilumos punkto remontas</t>
  </si>
  <si>
    <t>Plungės r. Liepijų mokyklos Šateikių skyriaus pastato šilumos punkto atnaujinimas su paprastojo remonto projekto parengimu</t>
  </si>
  <si>
    <t>Plungės akademiko Adolfo Jucio progimnazijos pastato šilumos punkto, šildymo ir karšto vandens sistemų paprastojo remonto projekto parengimas</t>
  </si>
  <si>
    <t>09 02 02 01 Savivaldybės infrastruktūros objektų planavimas, priežiūra, statyba (Vidurinės mokyklos)</t>
  </si>
  <si>
    <t>Žemaitijos kadetų Kulių gimnazijos skyriaus paprastojpo remonto projekto koregavimas</t>
  </si>
  <si>
    <t>1.4.</t>
  </si>
  <si>
    <t xml:space="preserve">04 02 01 01 Savivaldybės infrastruktūros objektų planavimas, priežiūra, statyba (žemės priežiūra) </t>
  </si>
  <si>
    <t xml:space="preserve"> Plungės rajono savivaldybės melioracijos ir hidrotechninių statinių inventorizavimas, einamasis remontas ir priežiūra 2211115</t>
  </si>
  <si>
    <t>1.5.</t>
  </si>
  <si>
    <t xml:space="preserve">04 05 01 02 Savivaldybės infrastruktūros objektų planavimas, priežiūra, statyba (keliai) </t>
  </si>
  <si>
    <t>Greitosios medicinos pagalbos tarnybos pastotės kiemo dangos remonto darbai</t>
  </si>
  <si>
    <t>1.6.</t>
  </si>
  <si>
    <t xml:space="preserve">08 02 01 08 Savivaldybės infrastruktūros objektų planavimas, priežiūra, statyba (kultūra) </t>
  </si>
  <si>
    <t>M. Oginskio rūmų fasadų einamosios priežiūros darbai</t>
  </si>
  <si>
    <t>1.7</t>
  </si>
  <si>
    <t xml:space="preserve">08 01 01 02 Savivaldybės infrastruktūros objektų planavimas, priežiūra, statyba (poilsis ir sportas) </t>
  </si>
  <si>
    <t>1.8</t>
  </si>
  <si>
    <t xml:space="preserve">09 05 01 01 Savivaldybės infrastruktūros objektų planavimas, priežiūra, statyba (neformalus) </t>
  </si>
  <si>
    <t>Daugiabučio gyvenamo namo buto, esančio Gandingos g. 16-38, Plungės mieste, vidaus patalpų remontas, t. y. (balkoninių durų angos ir tų pačių balkoninių durų montavimas)</t>
  </si>
  <si>
    <t>Savivaldybės infrastruktūros objektų planavimas, remontas ir priežiūra VISO:</t>
  </si>
  <si>
    <t>2.</t>
  </si>
  <si>
    <t xml:space="preserve">02 Savivaldybės infrastruktūros objektų plėtra </t>
  </si>
  <si>
    <t>2.1.</t>
  </si>
  <si>
    <t xml:space="preserve">04 05 01 02 Savivaldybės infrastruktūros objektų plėtra </t>
  </si>
  <si>
    <t>Alsėdžių gatvių apšvietimo įrengimas</t>
  </si>
  <si>
    <t xml:space="preserve">Medelyno gatvės Nausodžio sen. apšvietimo tinklai ESO dalis </t>
  </si>
  <si>
    <t>Prisidėjimas prie ESO rangos, įgyvendinant dviračių takų plėtrą</t>
  </si>
  <si>
    <t>2.3.</t>
  </si>
  <si>
    <t>08 01 01 03 Savivaldybės infrastruktūros objektų plėtra sportas ir poilsis</t>
  </si>
  <si>
    <t>Savivaldybės infrastruktūros objektų plėtra VISO:</t>
  </si>
  <si>
    <t>3.</t>
  </si>
  <si>
    <t xml:space="preserve">03 Savivaldybės vietinės reikšmės keliams (gatvėms) tiesti, taisyti, prižiūrėti ir saugaus eismo sąlygoms užtikrinti </t>
  </si>
  <si>
    <t>3.1.</t>
  </si>
  <si>
    <t xml:space="preserve">04 05 01 02 Savivaldybės vietinės reikšmės keliams (gatvėms) tiesti, taisyti, prižiūrėti ir saugaus eismo sąlygoms užtikrinti </t>
  </si>
  <si>
    <t>Kaimiškųjų seniūnijų kelių priežiūrai (sniego valymas, slidžių ruožų barstymas, paprastasis kelio remontas)</t>
  </si>
  <si>
    <t>Savivaldybės vietinės reikšmės keliams (gatvėms) tiesti, taisyti, prižiūrėti ir saugaus eismo sąlygoms užtikrinti VISO:</t>
  </si>
  <si>
    <t>4.</t>
  </si>
  <si>
    <t xml:space="preserve">04 Savivaldybės vietinės reikšmės kelių (gatvių) bei eismo saugumo priemonių plėtra, prisidedant prie darnaus judumo  </t>
  </si>
  <si>
    <t>4.1.</t>
  </si>
  <si>
    <t xml:space="preserve">04 05 01 02 Savivaldybės vietinės reikšmės kelių (gatvių) bei eismo saugumo priemonių plėtra, prisidedant prie darnaus judumo </t>
  </si>
  <si>
    <t xml:space="preserve">Prisidėjimas prie bendrai vykdomų projektų su Lietuvos automobilių kelių direkcija. Asfaltbetonio dangos tiesimas  pagal KPPP patvirtintą prioritetinį sąrašą </t>
  </si>
  <si>
    <t>Savivaldybės vietinės reikšmės kelių (gatvių) bei eismo saugumo priemonių plėtra, prisidedant prie darnaus judumo VISO:</t>
  </si>
  <si>
    <t>5.</t>
  </si>
  <si>
    <t xml:space="preserve">05 Infrastruktūros plėtra savivaldybės ir fizinių ar juridinių ar asmenų jungtinės veiklos pagrindu </t>
  </si>
  <si>
    <t>5.1.</t>
  </si>
  <si>
    <t xml:space="preserve">04 05 01 02 Infrastruktūros plėtra savivaldybės ir fizinių ar juridinių ar asmenų jungtinės veiklos pagrindu </t>
  </si>
  <si>
    <t xml:space="preserve">*Plungės rajono vietinės reikšmės kelių juostoje esantiems statiniams, daugiaaukščių namų kiemams, įvažiavimams, šaligatviams, kelių ir gatvių apšvietimo sistemoms, vaikų žaidimo aikštelėms bei kitiems statiniams rekonstruoti, taisyti (remontuoti). Gyventojų prisidėjimas 60 proc. prie projekto įgyvendinimo. </t>
  </si>
  <si>
    <t>Infrastruktūros plėtra savivaldybės ir fizinių ar juridinių ar asmenų jungtinės veiklos pagrindu VISO:</t>
  </si>
  <si>
    <t>6.</t>
  </si>
  <si>
    <t xml:space="preserve">06 Dalyvaujamojo biudžeto įgyvendinimas </t>
  </si>
  <si>
    <t>6.1.</t>
  </si>
  <si>
    <t xml:space="preserve">08 01 01 03 Dalyvaujamojo biudžeto įgyvendinimas </t>
  </si>
  <si>
    <t>PLANUOJAMA DOTACIJA</t>
  </si>
  <si>
    <t>Eilės Nr.</t>
  </si>
  <si>
    <t xml:space="preserve">Lėšos, skirtos želdinių atkuriamajai vertei atlyginti </t>
  </si>
  <si>
    <t xml:space="preserve">Vykdomų projektų darbų vykdymo techninės priežiūros, projektų vykdymo priežiūros  paslaugos </t>
  </si>
  <si>
    <t>Kulių kapinių vandes gręžinio įrengimas</t>
  </si>
  <si>
    <t xml:space="preserve">Plungės lopšelio-drželio "Vyturėlis" sanitarinių mazgų patalpų remontas su įranga </t>
  </si>
  <si>
    <t>Plungės akademiko Adolfo Jucio progimnazijos "Babrungo" skyriaus privažiavimo infrastruktūros atnaujinimas (šuliniai)</t>
  </si>
  <si>
    <t xml:space="preserve">Sporto, žaidimų aikštelių tvarkymui </t>
  </si>
  <si>
    <t>SAVIVALDYBĖS BIUDŽETO  2025 M. ir 2026 M. PAJAMOS, LIKUČIAI, SKOLINTOS LĖŠOS</t>
  </si>
  <si>
    <t>8 lentelė</t>
  </si>
  <si>
    <t>Tūkst. eurų</t>
  </si>
  <si>
    <t>Pajamų pavadinimas</t>
  </si>
  <si>
    <t>2025 m. biudžeto planas metų pradžioje</t>
  </si>
  <si>
    <t xml:space="preserve">2025 metų pakeitimai </t>
  </si>
  <si>
    <t>2025 m. patikslintas planas</t>
  </si>
  <si>
    <t>2025 m. vykdymas</t>
  </si>
  <si>
    <t xml:space="preserve">2026 m. biudžeto projektas </t>
  </si>
  <si>
    <t xml:space="preserve">2026 biudž. proj.    su 2025 m. planu metų pradžioje, </t>
  </si>
  <si>
    <t>2026 biudž. proj. su 2025 metų pradžia (didėjimas, mažėjimas procentais)</t>
  </si>
  <si>
    <t>Pajamos be dotacijų</t>
  </si>
  <si>
    <t>GPM iš fiksuoto pajamų mokesčio už veiklas, kuriomis verčiamasi, turint verslo liudijimą</t>
  </si>
  <si>
    <t>Žemės mokestis</t>
  </si>
  <si>
    <t>Paveldimo turto mokestis</t>
  </si>
  <si>
    <t>Nekilnojamojo turto mokestis</t>
  </si>
  <si>
    <t>Mokesčiai už aplinkos teršimą</t>
  </si>
  <si>
    <t>Palūkanos</t>
  </si>
  <si>
    <t>Nuomos mokestis už valstybinę žemę</t>
  </si>
  <si>
    <t>Mokesčiai už medžiojamųjų gyvūnų išteklius</t>
  </si>
  <si>
    <t>Kiti mokesčiai už valstybinius gamtos išteklius</t>
  </si>
  <si>
    <t>Biudžetinių įstaigų pajamos už prekes ir paslaugas</t>
  </si>
  <si>
    <t>Pajamos už ilgalaikio ir trumpalaikio materialiojo turto nuomą</t>
  </si>
  <si>
    <t>Įmokos už išlaikymą švietimo, socialinės apsaugos ir kitose įstaigose</t>
  </si>
  <si>
    <t>Valstybės  rinkliava</t>
  </si>
  <si>
    <t>Vietinė rinkliava už atliekų tvarkymą</t>
  </si>
  <si>
    <t>Infrastruktūros plėtros įmokos</t>
  </si>
  <si>
    <t>Pajamos iš baudų, konfiskuoto turto ir kitų netesybų</t>
  </si>
  <si>
    <t>Kitos neišvardytos pajamos</t>
  </si>
  <si>
    <t>Materialiojo ir nematerialiojo turto realizavimo pajamos (už žemę)</t>
  </si>
  <si>
    <t>Materialiojo ir nematerialiojo turto realizavimo pajamos (pastatai ir kt.)</t>
  </si>
  <si>
    <t>Dotacijos</t>
  </si>
  <si>
    <t>IŠ VISO (2+24 eil.)</t>
  </si>
  <si>
    <t>Likutis Aplinkos apsaugos rėmimo programos</t>
  </si>
  <si>
    <t xml:space="preserve">Likutis už parduotą žemę </t>
  </si>
  <si>
    <t xml:space="preserve">Likutis už parduotą socialinį būstą </t>
  </si>
  <si>
    <t>Likutis  vietinės rinkliavos už atliekų tvarkymą</t>
  </si>
  <si>
    <t>Likutis infrastruktūros plėtros įmokų</t>
  </si>
  <si>
    <t xml:space="preserve">Likutis įstaigų pajamų </t>
  </si>
  <si>
    <t>Likutis ES lėšų</t>
  </si>
  <si>
    <t>Laisvi likučiai perskirstymui</t>
  </si>
  <si>
    <t>Savarankiškosioms funkcijoms  be dotacijų ir likučių</t>
  </si>
  <si>
    <t>Iš viso likučių</t>
  </si>
  <si>
    <t>Skolintos lėšos</t>
  </si>
  <si>
    <t>LĖŠOS, PLANUOJAMOS 2026 M. BIUDŽETO PROJEKTE STRATEGINIO PLANO 002 EKONOMINĖS IR PROJEKTINĖS VEIKLOS PROGRAMOS PRIEMONĖMS (tūkst. Eur)</t>
  </si>
  <si>
    <t>2 lentelė</t>
  </si>
  <si>
    <t>LĖŠOS, PLANUOJAMOS 2026 M. BIUDŽETO PROJEKTE STRATEGINIO PLANO 003 TERITORIJŲ PLANAVIMO PROGRAMOS PRIEMONĖMS (tūkst. Eur)</t>
  </si>
  <si>
    <t>Vandens tiekimo ir nuotekų tvarkymo spec. plano koregavimas</t>
  </si>
  <si>
    <t>Numatyta 2026 m. projekte</t>
  </si>
  <si>
    <t>Viso išmokos:</t>
  </si>
  <si>
    <t>SOCIALINĖS PARAMOS, IŠMOKŲ IR KOMPENSACIJŲ ORGANIZAVIMAS</t>
  </si>
  <si>
    <t xml:space="preserve">LĖŠOS, PLANUOJAMOS 2026 M. BIUDŽETO PROJEKTE STRATEGINIO PLANO 006 KULTŪROS IR TURIZMO PROGRAMOS PRIEMONĖMS </t>
  </si>
  <si>
    <t>5 lentelė</t>
  </si>
  <si>
    <t>06 06 01 01 Savivaldybės infrastruktūros objektų planavimas, priežiūra, statyba ( Komunalinio ūkio plėtros objektai)</t>
  </si>
  <si>
    <t>2026 m. projekte</t>
  </si>
  <si>
    <t>4 lentelė</t>
  </si>
  <si>
    <t>Įstaigos pavadinimas</t>
  </si>
  <si>
    <t>Savarankiškosioms savivaldybės  funkcijos  vykdyti               Nr. 3 priedas</t>
  </si>
  <si>
    <t>Specialiosios tikslinės dotacijos,  skiriamos valstybinėms perduotoms savivaldybėms funkcijoms atlikti Nr. 4 priedas</t>
  </si>
  <si>
    <t>Dotacija, ugdymo reikmėms finansuoti Nr. 5 priedas</t>
  </si>
  <si>
    <t>Kitų dotacijų paskirstymas          Nr. 6 priedas</t>
  </si>
  <si>
    <t>Biudžetinių įstaigų gaunamų lėšų ir pajamų paskirstymas      Nr. 7 priedas</t>
  </si>
  <si>
    <t>Nepanaudotų biudžeto lėšų paskirstymas Nr. 8 priedas</t>
  </si>
  <si>
    <t>Viso</t>
  </si>
  <si>
    <t>Akademiko Adolfo Jucio progimnazija</t>
  </si>
  <si>
    <t>Liepijų mokykla</t>
  </si>
  <si>
    <t>„ Ryto“ pagrindinė mokykla</t>
  </si>
  <si>
    <t>„ Saulės“ gimnazija</t>
  </si>
  <si>
    <t>Senamiesčio mokykla</t>
  </si>
  <si>
    <t xml:space="preserve">Specialiojo ugdymo centras </t>
  </si>
  <si>
    <t>M. Oginskio meno mokykla</t>
  </si>
  <si>
    <t>Platelių meno mokykla</t>
  </si>
  <si>
    <t>Sporto ir rekreacijos centras</t>
  </si>
  <si>
    <t>Sporto ir rekreacijos centras (sporto kompleksas)</t>
  </si>
  <si>
    <t>Paslaugų ir švietimo pagalbos centras</t>
  </si>
  <si>
    <t>Krizių centras</t>
  </si>
  <si>
    <t>Socialinių paslaugų centras</t>
  </si>
  <si>
    <t>Visuomenės sveikatos biuro veikla</t>
  </si>
  <si>
    <t>Priklausomybių mažinimo programos įgyvendinimas</t>
  </si>
  <si>
    <t>Savivaldybės viešoji biblioteka</t>
  </si>
  <si>
    <t>Turizmo informacijos centras</t>
  </si>
  <si>
    <t>Žemaičių dailės muziejus</t>
  </si>
  <si>
    <t>Plungės rajono savivaldybės kultūros centras</t>
  </si>
  <si>
    <t>Kulių kultūros centras</t>
  </si>
  <si>
    <t>Šateikių kultūros centras</t>
  </si>
  <si>
    <t>Žemaičių Kalvarijos kultūros centras</t>
  </si>
  <si>
    <t>Žlibinų kultūros centras</t>
  </si>
  <si>
    <t>Plungės priešgaisrinės apsaugos tarnyba</t>
  </si>
  <si>
    <t>Savivaldybės Kontrolė ir audito tarnyba</t>
  </si>
  <si>
    <t>Savivaldybės tarybos veikla</t>
  </si>
  <si>
    <t>Savivaldybės administracijos veikla</t>
  </si>
  <si>
    <t xml:space="preserve">IŠ VISO </t>
  </si>
  <si>
    <t>Gyventojų pajamų mokestis                                                      (2025 m. 50,64 proc.; 1,0796 proc.; 2026 m. 50,44 proc.; 1,0794 proc.; )</t>
  </si>
  <si>
    <t>Darbo užmokestis 2026 metų biudžeto Tarybos sprendimo projekte</t>
  </si>
  <si>
    <t>tūkst. eurų</t>
  </si>
  <si>
    <t>Savivaldybės administracijos veikla projektas</t>
  </si>
  <si>
    <t>Soc. paramos, išmokų ir kompensacijų organizavimas</t>
  </si>
  <si>
    <t>9 lentelė</t>
  </si>
  <si>
    <t>6 lentelė</t>
  </si>
  <si>
    <t xml:space="preserve">2025-2026 metų valstybės funkcijoms (perduotoms savivaldybei) vykdyti skirtų lėšų paskirstymas                                               </t>
  </si>
  <si>
    <t>Eil.Nr.</t>
  </si>
  <si>
    <t>Valstybės funkcijos</t>
  </si>
  <si>
    <t>IŠ VISO</t>
  </si>
  <si>
    <t>Socialinėms išmokoms ir kompensacijoms skaičiuoti ir mokėti</t>
  </si>
  <si>
    <t xml:space="preserve">Socialinei paramai mokiniams </t>
  </si>
  <si>
    <t xml:space="preserve">Socialinėms paslaugoms           </t>
  </si>
  <si>
    <t xml:space="preserve"> Jaunimo teisių apsaugai</t>
  </si>
  <si>
    <t>Savivaldybės patvirtintai užimtumo didinimo programai įgyvendinti</t>
  </si>
  <si>
    <t>Visuomenės sveikatos priežiūros funkcijoms  vykdyti</t>
  </si>
  <si>
    <t>Neveiksnių asmenų būklės peržiūrėjimui užtikrinti</t>
  </si>
  <si>
    <t>Priešgaisrinei saugai</t>
  </si>
  <si>
    <r>
      <rPr>
        <sz val="9"/>
        <color indexed="10"/>
        <rFont val="Times New Roman"/>
        <family val="1"/>
      </rPr>
      <t xml:space="preserve"> </t>
    </r>
    <r>
      <rPr>
        <sz val="9"/>
        <rFont val="Times New Roman"/>
        <family val="1"/>
        <charset val="186"/>
      </rPr>
      <t>Civilinei saugai</t>
    </r>
  </si>
  <si>
    <t>Žemės ūkio funkcijoms atlikti</t>
  </si>
  <si>
    <t>Valstybei nuosavybės teise priklausančių melioracijos ir hidrotechnikos statinių valdymui ir naudojimui  patikėjimo teise užtikrinti</t>
  </si>
  <si>
    <t>Savivaldybės priskirtų geodezijos ir kartografijos darbams (savivaldybės erdvinių duomenų rinkiniams tvarkyti) organizuoti ir vykdyti</t>
  </si>
  <si>
    <t>Valstybinės kalbos vartojimo ir taisyklingumo kontrolei</t>
  </si>
  <si>
    <t>Savivaldybės priskirtiems archyviniams dokumenams tvarkyti</t>
  </si>
  <si>
    <t>Dalyvauti rengiant ir vykdant mobilizaciją, demobilizaciją, priimančiosios šakies paramą</t>
  </si>
  <si>
    <t>Duomenims į suiteiktos valstybės pagalbos ir nereikšmingos pagalbos registrą teikti</t>
  </si>
  <si>
    <t>Valstybės garantuojamai pirminei teisinei pagalbai teikti</t>
  </si>
  <si>
    <t>Civilinės būklės aktams registruoti</t>
  </si>
  <si>
    <t xml:space="preserve">Gyventojų registrui tvarkyti ir duomenims valstybės registrui teikti </t>
  </si>
  <si>
    <t>Gyvenamosios vietos deklaravimo duomenų ir gyvenamosio vietos neturinčių asmenų apskaitos duomenims tvarkyti</t>
  </si>
  <si>
    <t>Koordinuotai teikiamų paslaugų vaikams nuo gimimo iki 18 metų (turintiems didelių ir labai didelių specialiųjų ugdymosi poreikių – iki 21 metų) ir vaiko atstovams koordinavimui finansuoti</t>
  </si>
  <si>
    <t>savivaldybėms priskirtos ir perduotos valstybinės žemės miestų ir miestelių administracinėse ribose valdymui, naudojimui ir disponavimui ja patikėjimo teise užtikrinti</t>
  </si>
  <si>
    <t>2026 m. projektas</t>
  </si>
  <si>
    <t>7 lentelė</t>
  </si>
  <si>
    <t>1 lentelė</t>
  </si>
  <si>
    <r>
      <t xml:space="preserve">2026–2028 METŲ </t>
    </r>
    <r>
      <rPr>
        <b/>
        <u/>
        <sz val="12"/>
        <color rgb="FF000000"/>
        <rFont val="Times New Roman"/>
        <family val="1"/>
        <charset val="186"/>
      </rPr>
      <t xml:space="preserve">002 EKONOMINĖS IR PROJEKTINĖS VEIKLOS </t>
    </r>
    <r>
      <rPr>
        <b/>
        <sz val="12"/>
        <color rgb="FF000000"/>
        <rFont val="Times New Roman"/>
        <family val="1"/>
        <charset val="186"/>
      </rPr>
      <t xml:space="preserve">PROGRAMOS UŽDAVINIAI, PRIEMONĖS, ASIGNAVIMAI IR KITOS LĖŠOS </t>
    </r>
    <r>
      <rPr>
        <b/>
        <i/>
        <sz val="12"/>
        <color rgb="FF000000"/>
        <rFont val="Times New Roman"/>
        <family val="1"/>
        <charset val="186"/>
      </rPr>
      <t>(tūkst. Eur)</t>
    </r>
  </si>
  <si>
    <t xml:space="preserve">Sodžiaus gatvės, esančios Macenių k., Nausodžio sen. Plungės r. sav. kapitalinio remonto darbai, kuriant investicijoms palankią aplinką </t>
  </si>
  <si>
    <t>Prisidėjimas prie kaimo bendruomenių projektų pagal priemonę: "Vietos vertybėmis grįsto, aplinkai draugiško, sveikatai palankaus poilsio ir (arba) veiklos plėtra".</t>
  </si>
  <si>
    <t>Prisidėjimas prie kaimo bendruomenių projektų pagal priemonę: "Sveiki, socialiai ir ekonomiškai atsakingi Plungės rajono gyventojai" teikiant paraiškas vietos veiklos grupei".</t>
  </si>
  <si>
    <t>Prisidėti prie Plungės miesto 2023–2029 m. vietos plėtros strategijos veiksmų įgyvendinimo</t>
  </si>
  <si>
    <t>Prisidėjimas prie Šateikių kultūros centro  projekto "Šateikiai Open – kartų festivalis", pagal Plungės rajono savivaldybės VVG VPS priemonę: Puoselėti tradicijas, sveiką gyvenseną ir tarpusavio ryšius "Plungės rajono savivaldybės VVG VPS priemonė".</t>
  </si>
  <si>
    <t>Prisidėjimas prie Žemaičių Kalvarijos kultūros centro projekto "Kultūros komanda: lyderystės ugdymas ir patirties mainai",  pagal Plungės rajono savivaldybės VVG VPS priemonę: Puoselėti tradicijas, sveiką gyvenseną ir tarpusavio ryšius "Plungės rajono savivaldybės VVG VPS priemonė".</t>
  </si>
  <si>
    <t>Prisidėjimas prie Plungės rajono Narvaišių kaimo bendruomenės  projekto "Kaimas, kuriame gera būti", pagal Plungės rajono savivaldybės VVG VPS priemonę: Puoselėti tradicijas, sveiką gyvenseną ir tarpusavio ryšius".</t>
  </si>
  <si>
    <t>Prisidėjimas prie Kulių kultūros centro projekto "Kuriančios rankos",  pagal Plungės rajono savivaldybės VVG VPS priemonę: Puoselėti tradicijas, sveiką gyvenseną ir tarpusavio ryšius" Plungės rajono savivaldybės VVG VPS priemonė".</t>
  </si>
  <si>
    <t>Miesto partnerių įprasminimas prie Savivaldybės</t>
  </si>
  <si>
    <t>Šiukštų dvaro rūsių konstrukciniai tyrimai, valymo darbai</t>
  </si>
  <si>
    <t>Būsto nuomos mokesčio daliai kompensuoti 4 proc. DU</t>
  </si>
  <si>
    <t>2026 m. –  2025 m.</t>
  </si>
  <si>
    <t>Vietinė rinkliava (be atliekų)</t>
  </si>
  <si>
    <t>Žemaitijos kadetų gimnazija</t>
  </si>
  <si>
    <t>Lopšelis-darželis „Nykštukas“</t>
  </si>
  <si>
    <t>Lopšelis-darželis „Pasaka“</t>
  </si>
  <si>
    <t>Lopšelis-darželis „Raudonkepuraitė“</t>
  </si>
  <si>
    <t>Lopšelis-darželis „Rūtelė“</t>
  </si>
  <si>
    <t>Lopšelis-darželis „Saulutė“</t>
  </si>
  <si>
    <t>Lopšelis - darželis „Vyturėlis“</t>
  </si>
  <si>
    <t>Plungės lopšelyje-darželyje "Raudonkepuraitė" edukacinės erdvės įrengimas buvusios skalbyklos patalpose</t>
  </si>
  <si>
    <t xml:space="preserve">Plungės lopšelio-darželio "Saulutė" dalies teritorijos drenažo sistemos įrengimo darbai </t>
  </si>
  <si>
    <t>Plungės lopšeyje-darželyje "Saulutė" lietaus vamzdžio keitmas grupėje</t>
  </si>
  <si>
    <t>Plungės "Saulės" gimnazijos sporto salės šildymo sistemos rekonstrukcija</t>
  </si>
  <si>
    <t>Plungės "Saulės" gimnazijoje Armstrong pakabinamų lubų įrengimas (~ 726 kv. m)</t>
  </si>
  <si>
    <t>Plungės lopšelio-darželio "Vyturėlis" Prūsalių skyriaus pastato šilumos punkto remontas</t>
  </si>
  <si>
    <t>Platelių meno mokyklos Alsėdžių skyriaus patalpų, esančių rūsyje remontas (patalpų remontas, apšvietimas, ventiliacija)</t>
  </si>
  <si>
    <t>Pastato, esančio Dvaro g. 2, Glaudžių k., stogo skardinimo darbai (parapetai, kaminėliai)</t>
  </si>
  <si>
    <t>Buitinių nuotekų ir vandentiekio tinklų V. Mačernio g. 67C Plungėje įrengimas</t>
  </si>
  <si>
    <t xml:space="preserve">Skate parko įrengimas akademiko Adolfo Jucio progimnazijos teritorijoje </t>
  </si>
  <si>
    <t>tūkst. Eur</t>
  </si>
  <si>
    <t>LĖŠOS, PLANUOJAMOS 2026 M. BIUDŽETO PROJEKTE STRATEGINIO PLANO 004 SOCIALIAI SAUGIOS IR SVEIKOS APLINKOS KŪRIMO PROGRAMOS PRIEMONĖMS (tūkst. eurų)</t>
  </si>
  <si>
    <t>2026 M. BIUDŽETO PROJEKTAS PAGAL STRATEGINIO VEIKLOS PLANO PIEMONES (IŠLAIDOS SAVARANKIŠKOSIOMS FUNKCIJOMS), tūkst. eurų (2025 metų biudžetas, patvirtintas metų pradžioje)</t>
  </si>
  <si>
    <t>METAI</t>
  </si>
  <si>
    <t>IŠ  VISO</t>
  </si>
  <si>
    <t>iš jų:</t>
  </si>
  <si>
    <t xml:space="preserve">Pokyčio procentas </t>
  </si>
  <si>
    <t>DIDĖJA tūkst. eurų  ir jų tikslinė paskirtis</t>
  </si>
  <si>
    <t>KOMENTARAI</t>
  </si>
  <si>
    <t>MAŽĖJA  tūkst. eurų</t>
  </si>
  <si>
    <t xml:space="preserve">Soc. draud. įmokos </t>
  </si>
  <si>
    <t>2025 12 31 mokėtinų sumų daliai dengti</t>
  </si>
  <si>
    <t>Kitos išlaidos</t>
  </si>
  <si>
    <t xml:space="preserve">001 UGDYMO KOKYBĖS, SPORTO IR MODERNIOS APLINKOS UŽTIKRINIMO PROGRAMA </t>
  </si>
  <si>
    <t xml:space="preserve">"BABRUNGO" PROGIMNAZIJOS VEIKLA </t>
  </si>
  <si>
    <t>2025m.</t>
  </si>
  <si>
    <t>žaliuzės į klases</t>
  </si>
  <si>
    <t xml:space="preserve">AKADEMIKO ADOLFO JUCIO PROGIMNAZIJOS VEIKLA </t>
  </si>
  <si>
    <t>2026m. Projektas</t>
  </si>
  <si>
    <t>snygio padarinių šalinimui</t>
  </si>
  <si>
    <t xml:space="preserve">LIEPIJŲ MOKYKLOS VEIKLA  </t>
  </si>
  <si>
    <t>valgyklai</t>
  </si>
  <si>
    <t>automobiliui įsigyti</t>
  </si>
  <si>
    <t>didesnis prisidėjimas iš biudžeto, nes mažėja ML: 2025 m. skirta - 340,1 tūkst. eurų, 2026 m. - 286,2 tūkst. eurų.</t>
  </si>
  <si>
    <t xml:space="preserve">'RYTO" PAGRINDINĖS MOKYKLOS VEIKLA  </t>
  </si>
  <si>
    <t>automobilių stovėjimo aikštelės remontas</t>
  </si>
  <si>
    <t xml:space="preserve">"SAULĖS" GIMNAZIJOS VEIKLA  </t>
  </si>
  <si>
    <t>valgyklos įrengimui pereinant prie savarankiško maitinimo</t>
  </si>
  <si>
    <t xml:space="preserve">SENAMIESČIO  MOKYKLOS VEIKLA  </t>
  </si>
  <si>
    <t xml:space="preserve">SPECIALIOJO UGDYMO CENTRO VEIKLA  </t>
  </si>
  <si>
    <t>darželio grupės išlaikymui, iš jų: 3,4 tūkst. kitoms išlaidoms</t>
  </si>
  <si>
    <t>ŽEMAITIJOS KADETŲ GIMNAZIJOS VEIKLA</t>
  </si>
  <si>
    <t xml:space="preserve"> mokomųjų dronų ir jų komponentų įsigijimui</t>
  </si>
  <si>
    <t xml:space="preserve"> Kulių ir Žem. Kalvarijos valgyklos įrangai; </t>
  </si>
  <si>
    <t>DU spec pagalbai</t>
  </si>
  <si>
    <t>dalis išlaidų perkeliama į dotaciją - 391,3 tūkst. eurų:  319,5 tūkst. eurų DU ir 4,6 tūkst. eurų Sodrai, kitoms išlaidoms 67,2 tūkst, eurų.</t>
  </si>
  <si>
    <t xml:space="preserve">LOPŠELIO-DARŽELIO "NYKŠTUKAS" VEIKLA  </t>
  </si>
  <si>
    <t>papildomai įstaigos reikmėms</t>
  </si>
  <si>
    <t xml:space="preserve">LOPŠELIO-DARŽELIO "PASAKA" VEIKLA  </t>
  </si>
  <si>
    <t xml:space="preserve"> programos funkcionalumui,</t>
  </si>
  <si>
    <t xml:space="preserve">LOPŠELIO-DARŽELIO "RAUDONKEPURAITĖ" VEIKLA  </t>
  </si>
  <si>
    <t xml:space="preserve">LOPŠELIO-DARŽELIO "RŪTELĖ" VEIKLA  </t>
  </si>
  <si>
    <t>gauta didesnė ML dotacija, mažėja lėšos savarankiškosioms funkcijoms</t>
  </si>
  <si>
    <t xml:space="preserve">LOPŠELIO-DARŽELIO "SAULUTĖ" VEIKLA  </t>
  </si>
  <si>
    <t xml:space="preserve">LOPŠELIO-DARŽELIO "VYTURĖLIS" VEIKLA  </t>
  </si>
  <si>
    <t>perkeltos suderitos nepanaudotos lėšos turtui įsigyti iš 2025m.</t>
  </si>
  <si>
    <t xml:space="preserve">M.OGINSKIO MENO MOKYKLOS VEIKLA  </t>
  </si>
  <si>
    <t xml:space="preserve">PLATELIŲ MENO MOKYKLOS VEIKLA  </t>
  </si>
  <si>
    <t>suzafonas – pučiamasis instrumentas</t>
  </si>
  <si>
    <t xml:space="preserve">SPORTO IR REKREACIJOS CENTRO VEIKLA </t>
  </si>
  <si>
    <t xml:space="preserve">vandens sporto šventei ir krepšinio komandai 3*3 </t>
  </si>
  <si>
    <t>nešiojamas tablo</t>
  </si>
  <si>
    <t>regionų krepšinio „B“ lygmens varžyboms</t>
  </si>
  <si>
    <t>SK "Birštono Nemunas" vikingų renginys</t>
  </si>
  <si>
    <t>nebevykdys regionų krepšinio „B“ lygmens varžybų, 3*3 krepšinio</t>
  </si>
  <si>
    <r>
      <rPr>
        <sz val="12"/>
        <rFont val="Times New Roman"/>
        <family val="1"/>
        <charset val="186"/>
      </rPr>
      <t>12,8 proc</t>
    </r>
    <r>
      <rPr>
        <sz val="12"/>
        <color theme="1"/>
        <rFont val="Times New Roman"/>
        <family val="1"/>
        <charset val="186"/>
      </rPr>
      <t>. mažėja komunalinės išlaidos</t>
    </r>
  </si>
  <si>
    <t xml:space="preserve">(BASEINAS) SPORTO IR REKREACIJOS CENTRO VEIKLA  </t>
  </si>
  <si>
    <t>iškeltas plaukimo trenerių DU prie Sporto ir rekreacijos centro</t>
  </si>
  <si>
    <t>(SPORTO ARENA ) SPORTO IR REKREACIJOS CENTRO VEIKLA</t>
  </si>
  <si>
    <t xml:space="preserve">JAUNIMO  VEIKLOS PROGRAMOS ĮGYVENDINIMAS </t>
  </si>
  <si>
    <t xml:space="preserve">jaunimo vasaros akademijai </t>
  </si>
  <si>
    <t>jaunimo vasaros užimtumo ir integracijos į darbo rinką programai vykdyti</t>
  </si>
  <si>
    <t xml:space="preserve">MOKSLO RĖMIMO PROGRAMOS ĮGYVENDINIMAS </t>
  </si>
  <si>
    <t>konkursų ir olimpiadų premijoms - 4,0 tūkst. Eur.
VBE šimtukininkams - 4,0 tūkst. Eur.
mokslo ir žinių dienos šventės organizavimui - 2,0 tūkst. Eur.
metų mokytojo premijai - 2,0 tūkst. Eur.
mokytojų dienos renginiui  - 9,0 tūkst. Eur.
pirmokų rinkiniams - 9 tūkst. Eur.
mokinio pažymėjimų spausdinimui (2000 kortelių, dažai, priemonės spausdintuvui) - 7 tūkst. Eur
pedagogų persikvalifikavimui – 10  tūkst. Eur.
ugdymo karjerai, „Sumanaus moksleivio akademijos“ renginiams – 7 tūkst. Eur.
spotyself programos licencija – 9 tūkst. Eur.</t>
  </si>
  <si>
    <t xml:space="preserve">VAIKŲ VASAROS POILSIO ORGANIZAVIMO PROGRAMOS ĮGYVENDINIMAS </t>
  </si>
  <si>
    <t xml:space="preserve"> ATVIRO JAUNIMO CENTRO VEIKLOS ORGANIZAVIMAS</t>
  </si>
  <si>
    <t>"PLUNGĖS FUTBOLAS" PROGRAMOS ĮGYVENDINIMAS</t>
  </si>
  <si>
    <t>kelionės išlaidoms kompensuoti</t>
  </si>
  <si>
    <t xml:space="preserve">UGDYMO KOKYBĖS UŽTIKRINIMAS  </t>
  </si>
  <si>
    <t>bepiločių orlaivių valdymo ir inžinerijos plėtrai rajone</t>
  </si>
  <si>
    <t>IŠVYKŲ Į EDUKACINES VEIKLAS UŽTIKRINIMAS</t>
  </si>
  <si>
    <t>SPORTO KREPŠELIO ĮGYVENDINIMAS</t>
  </si>
  <si>
    <t xml:space="preserve">SPORTO PROJEKTŲ RĖMIMAS  </t>
  </si>
  <si>
    <t xml:space="preserve">KREPŠINIO KOMANDOS PLUNGĖS "OLIMPAS" RĖMIMAS  </t>
  </si>
  <si>
    <t xml:space="preserve">FUTBOLO KOMANDOS FK "BABRUNGAS" RĖMIMAS </t>
  </si>
  <si>
    <t>TREČIOJO AMŽIAUS UNIVERSITETO (TAU) VEIKLOS ORGANIZAVIMAS</t>
  </si>
  <si>
    <t>IŠ VISO (001) UGDYMO KOKYBĖS,SPORTO IR MODERNIOS APLINKOS UŽTIKRINIMO PROGRAMAI</t>
  </si>
  <si>
    <t>(002) EKONOMINĖS IR PROJEKTINĖS VEIKLOS PROGRAMA</t>
  </si>
  <si>
    <t xml:space="preserve">PROJEKTINĖS VEIKLOS ORGANIZAVIMAS </t>
  </si>
  <si>
    <t xml:space="preserve">SMULKIOJO IR VIDUTINIO VERSLO SUBJEKTŲ RĖMIMAS </t>
  </si>
  <si>
    <t>BENDRUOMENINIŲ IR NEVYRIAUSYBINIŲ ORGANIZACIJŲ TARYBŲ VEIKLOS RĖMIMAS</t>
  </si>
  <si>
    <t>PLUNGĖS DEKANATO APTARNAUJAMŲ PARAPIJŲ RĖMIMAS</t>
  </si>
  <si>
    <t>BENDRUOMENINIŲ ORGANIZACIJŲ VEIKLOS RĖMIMAS</t>
  </si>
  <si>
    <t xml:space="preserve">BENDRUOMENĖS VEIKLOS SAVIVALDYBĖJE STIPRINIMAS </t>
  </si>
  <si>
    <t>BENDRADARBYSTĖS CENTRO "SPIEČIUS" VEIKLOS ORGANIZAVIMAS</t>
  </si>
  <si>
    <t>INVESTICIJŲ IR KITŲ PROJEKTŲ, SKIRTŲ 2014-2020 M. NACIONALINEI PAŽANGOS PROGRAMAI/ES FONDŲ INVESTICIJŲ PROGRAMAI, VYKDYMAS  (PRISIDĖJIMAS_SB)</t>
  </si>
  <si>
    <t>INVESTICIJŲ IR KITŲ PROJEKTŲ VYKDYMAS (NAUJO FINANSAVIMO PERIODO) (PRISIDĖJIMAS_SB)</t>
  </si>
  <si>
    <t>TĘSTINIŲ INVESTICIJŲ IR KITŲ PROJEKTŲ VYKDYMAS (PEREINAMOJO LAIKOTARPIO) (PRISIDĖJIMAS_SB)</t>
  </si>
  <si>
    <t>INVESTICIJŲ PROJEKTŲ,NUMATYTŲ 2022-2030 M. TELŠIŲ REGIONO PLĖTROS PLANE, VYKDYMAS (PRISIDĖJIMAS_SB)</t>
  </si>
  <si>
    <t>INVESTICIJŲ PROJEKTŲ,NUMATYTŲ 2022-2030 M. TELŠIŲ REGIONO PLĖTROS PLANE, VYKDYMAS (SKOLINTOS)</t>
  </si>
  <si>
    <t>INVESTICIJŲ IR KITŲ PROJEKTŲ VYKDYMAS (NAUJO FINANSAVIMO PERIODO) (SKOLINTOS)</t>
  </si>
  <si>
    <t>INVESTICIJŲ IR KITŲ PROJEKTŲ, SKIRTŲ 2014-2020 M. NACIONALINEI PAŽANGOS PROGRAMAI/ES FONDŲ INVESTICIJŲ PROGRAMAI, VYKDYMAS (SKOLINTOS)</t>
  </si>
  <si>
    <t>TĘSTINIŲ INVESTICIJŲ IR KITŲ PROJEKTŲ VYKDYMAS (PEREINAMOJO LAIKOTARPIO) (SKOLINTOS)</t>
  </si>
  <si>
    <t>IŠ VISO (002) EKONOMINĖS IR PROJEKTINĖS VEIKLOS PROGRAMAI</t>
  </si>
  <si>
    <t>(003) TERITORIJŲ PLANAVIMO PROGRAMA</t>
  </si>
  <si>
    <t xml:space="preserve">ŽEMĖTVARKOS PROCESO (DARBŲ) ORGANIZAVIMAS </t>
  </si>
  <si>
    <t>127,461 Likutis iš praėjusių metų ir 55 tūkst. eurų einamųjų metų pajamos</t>
  </si>
  <si>
    <t xml:space="preserve">ARCHITEKTŪROS  IR TERITORIJŲ PLANAVIMO PROCESO ORGANIZAVIMAS </t>
  </si>
  <si>
    <t xml:space="preserve">SAVIVALDYBĖS INFRASTRUKTŪROS OBJEKTŲ PAGERINIMO IR PLĖTROS PROJEKTINĖS DOKUMENTACIJOS RENGIMAS </t>
  </si>
  <si>
    <t>IŠ VISO (003)TERITORIJŲ PLANAVIMO PROGRAMAI</t>
  </si>
  <si>
    <t>(004) SOCIALIAI SAUGIOS IR SVEIKOS APLINKOS KŪRIMO PROGRAMA</t>
  </si>
  <si>
    <t>SAVIVALDYBĖS TEIKIAMOS PARAMOS ORGANIZAVIMAS (numatyta priemonėje SOCIALINĖS PARAMOS, IŠMOKŲ IR KOMPENSACIJŲ ORGANIZAVIMAS)</t>
  </si>
  <si>
    <t>SOCIALINĖMS PAŠALPOMS IR KOMPENSACIJOMS SKAIČIUOTI IR MOKĖTI  (numatyta priemonėje SOCIALINĖS PARAMOS, IŠMOKŲ IR KOMPENSACIJŲ ORGANIZAVIMAS)</t>
  </si>
  <si>
    <t>BŪSTO PRITAIKYMO ASMENIMS SU NEGALIA ORGANIZAVIMAS</t>
  </si>
  <si>
    <t xml:space="preserve">LIGONINĖS PROGRAMOS ĮGYVENDINIMAS </t>
  </si>
  <si>
    <t>įsiskolinimui už priimamojo statybą</t>
  </si>
  <si>
    <t>kelionės išlaidų kompensavimui</t>
  </si>
  <si>
    <t>studijų ir rezidentūros studijų  apmokėjimui</t>
  </si>
  <si>
    <r>
      <t xml:space="preserve">akredituota soc. priežiūra  </t>
    </r>
    <r>
      <rPr>
        <sz val="10"/>
        <rFont val="Times New Roman"/>
        <family val="1"/>
        <charset val="186"/>
      </rPr>
      <t xml:space="preserve">                                                                                                                                                                                                                                     </t>
    </r>
  </si>
  <si>
    <t xml:space="preserve">apsaugotas būstas   </t>
  </si>
  <si>
    <t>NVO PROJEKTŲ TEIKIANT SOCIALINES PASLAUGAS BENDRUOMENĖJE FINANSAVIMAS</t>
  </si>
  <si>
    <t>SOCIALINIŲ PASLAUGŲ CENTRO VEIKLA</t>
  </si>
  <si>
    <t>globėjams</t>
  </si>
  <si>
    <t>SPECIALIOJO UGDYMO CENTRO VEIKLA</t>
  </si>
  <si>
    <t>Numatyta pagal planuojamų teikti paslaugų kiekį ir įkainius</t>
  </si>
  <si>
    <t>KRIZIŲ CENTRO VEIKLA</t>
  </si>
  <si>
    <t xml:space="preserve">laikino apnakvindinimo neblaiviems paslaugai teikti </t>
  </si>
  <si>
    <t>mažėja įstaigos gaunamos pajamos, todėl didėja biudžetas kitoms išlaidoms</t>
  </si>
  <si>
    <t>VISUOMENĖS SVEIKATOS BIURO VEIKLA</t>
  </si>
  <si>
    <t>KELEIVIŲ IR MOKSLEIVIŲ PAVEŽĖJIMO UŽTIKRINIMAS</t>
  </si>
  <si>
    <t>AKREDITUOTOS VAIKŲ DIENOS SOCIALINĖS PRIEŽIŪROS ORGANIZAVIMAS</t>
  </si>
  <si>
    <t>PRIKLAUSOMYBIŲ MAŽINIMO PROGRAMOS ĮGYVENDINIMAS</t>
  </si>
  <si>
    <t xml:space="preserve"> BENDRUOMENĖS CENTRO PROGRAMOS ĮGYVENDINIMAS</t>
  </si>
  <si>
    <t>snygio padariniams šalinti</t>
  </si>
  <si>
    <t>SAVIVALDYBĖS IR SOCIALINIO BŪSTO FONDO PLĖTRA</t>
  </si>
  <si>
    <t>likutis iš praėjusių metų</t>
  </si>
  <si>
    <t>FINANSINĖS PARAMOS PIRMĄJĮ BŪSTĄ ĮSIGYJANČIOMS JAUNOMS ŠEIMOMS TEIKIMAS</t>
  </si>
  <si>
    <t xml:space="preserve">"PLUNGĖS AUTOBUSŲ PARKAS" VEIKLOS GERINIMAS </t>
  </si>
  <si>
    <t>Akcijų įsigijimui</t>
  </si>
  <si>
    <t>"PLUNGĖS BŪSTAS" PROGRAMOS ĮGYVENDINIMAS</t>
  </si>
  <si>
    <t>viešajam tualetui išlaikyti</t>
  </si>
  <si>
    <t>miesto vaizdo stebėjimo kamerų išlaidoms, ryšio kanalui, 2 naujos kameros</t>
  </si>
  <si>
    <t xml:space="preserve">POLICIJOS KOMISARIATO PROGRAMOS ĮGYVENDINIMAS </t>
  </si>
  <si>
    <t>Naujų specialistų pritraukimui</t>
  </si>
  <si>
    <t xml:space="preserve">SAVIVALDYBĖS ĮSTAIGOSM REIKALINGŲ SPECIALYBIŲ DARBUOTOJŲ PRITRAUKIMO FINANSINIS SKATINIMAS </t>
  </si>
  <si>
    <t>IŠ VISO (004) SOCIALIAI SAUGIOS IR SVEIKOS APLINKOS KŪRIMO PROGRAMAI</t>
  </si>
  <si>
    <t>(005) APLINKOS APSAUGOS PROGRAMA</t>
  </si>
  <si>
    <t xml:space="preserve">KOMUNALINIŲ ATLIEKŲ SURINKIMUI IR TVARKYMUI </t>
  </si>
  <si>
    <t xml:space="preserve">SPECIALIOSIOS APLINKOS APSAUGOS RĖMIMO PROGRAMOS VYKDYMAS </t>
  </si>
  <si>
    <t>IŠ VISO (005) APLINKOS APSAUGOS PROGRAMAI</t>
  </si>
  <si>
    <t>(006) KULTŪROS IR TURIZMO PROGRAMA</t>
  </si>
  <si>
    <t xml:space="preserve"> VIEŠOSIOS BIBLIOTEKOS VEIKLA </t>
  </si>
  <si>
    <t>100 proc. padidintos lėšos valstybinėms šventėms organizuoti</t>
  </si>
  <si>
    <t>trimeris,darbo kėdės,nešiojamas kompiuteris vaikų bibl., darbuotojų kompiuteriai, audiogidai</t>
  </si>
  <si>
    <t>papildomai</t>
  </si>
  <si>
    <t>didėja komunaliniai dėl filialų</t>
  </si>
  <si>
    <t xml:space="preserve"> TURIZMO INFORMACIJOS CENTRO VEIKLA</t>
  </si>
  <si>
    <t xml:space="preserve">Edukacinių pažintinių maršrutų parengimo išlaidos (informacinių stendų pažintiniuose takuose), naujo tako įrengimas </t>
  </si>
  <si>
    <t>papildomai dalyvavimas parodose nuomos, nario mokesčiai, pasiruošimas</t>
  </si>
  <si>
    <t>ŽEMAIČIŲ DAILĖS MUZIEJAUS VEIKLA</t>
  </si>
  <si>
    <t xml:space="preserve"> atminimo obelys žydų bendruomenėms</t>
  </si>
  <si>
    <t xml:space="preserve"> už gaisrinės saugos darbus ir projekto pridavimą Infostatybai</t>
  </si>
  <si>
    <t xml:space="preserve"> išeitinei</t>
  </si>
  <si>
    <t>atminimo obelys žydų bendruomenėms</t>
  </si>
  <si>
    <t>tarptautinė paroda Žirgyne (2026m. gegužės-rugpjūčio mėn.)</t>
  </si>
  <si>
    <t>pridavus M. Oginskio rūmų darbus INFOSTATYBAI už gaisrinės saugos projekto paruošimą.</t>
  </si>
  <si>
    <t>STRATEGINIŲ PLUNGĖS RAJONO RENGINIŲ ORGANIZAVIMAS</t>
  </si>
  <si>
    <t xml:space="preserve">PARKO PRIEŽIŪRA </t>
  </si>
  <si>
    <t>PLUNGĖS KULTŪROS CENTRO VEIKLA</t>
  </si>
  <si>
    <t>apšvietimo,įgarsinimo įranga, pultai, priemonės meno kolektyvams</t>
  </si>
  <si>
    <t>papildomai įstaigos poreikiui</t>
  </si>
  <si>
    <t>ŽEMAIČIŲ KALVARIJOS KULTŪROS CENTRO VEIKLA</t>
  </si>
  <si>
    <t xml:space="preserve">lempos scenos apšvietimui </t>
  </si>
  <si>
    <t>KULIŲ KULTŪROS CENTRO VEIKLA</t>
  </si>
  <si>
    <t>salės kėdėms</t>
  </si>
  <si>
    <t xml:space="preserve">ŠATEIKIŲ KULTŪROS CENTRO VEIKLA </t>
  </si>
  <si>
    <t>dvejos metalinės lauko durys (su priešgaisrine apsauga ir avarinėm rankenom)</t>
  </si>
  <si>
    <t>ŽLIBINŲ KULTŪROS CENTRO VEIKLA</t>
  </si>
  <si>
    <t>garso monitorius žemų dažnių</t>
  </si>
  <si>
    <t>MIESTO ŠVENTĖS IR KITŲ REPREZENTACINIŲ RENGINIŲ ORGANIZAVIMAS</t>
  </si>
  <si>
    <t>PASIRUOŠIMAS DAINŲ ŠVENTEI</t>
  </si>
  <si>
    <t>LIETUVOS KULTŪROS TARYBOS IR KITŲ KULTŪRINIŲ PROJEKTŲ RĖMIMAS</t>
  </si>
  <si>
    <t xml:space="preserve">KULTŪROS PROJEKTŲ RĖMIMAS </t>
  </si>
  <si>
    <t>KULTŪROS VERTYBIŲ APSAUGOS ORGANIZAVIMAS</t>
  </si>
  <si>
    <t>IŠ VISO (006) KULTŪROS IR TURIZMO PROGRAMAI</t>
  </si>
  <si>
    <t>(007) SAVIVALDYBĖS VEIKLOS VALDYMO PROGRAMA</t>
  </si>
  <si>
    <t xml:space="preserve">PLUNGĖS MIESTO SENIŪNIJA </t>
  </si>
  <si>
    <t>keliams</t>
  </si>
  <si>
    <t>degligės žala,medžiai, vazonai.</t>
  </si>
  <si>
    <t>lajų tako tinklas</t>
  </si>
  <si>
    <t>didėja komunaliniams</t>
  </si>
  <si>
    <t>už parduotą turtą</t>
  </si>
  <si>
    <t>surinkta daugiau vietinės rinkliavos</t>
  </si>
  <si>
    <t>ALSĖDŽIŲ SENIŪNIJA</t>
  </si>
  <si>
    <t xml:space="preserve"> Alsėdžių miest. Draugystės, Telšių gatvėse ir Telšių gatvės atšakoje į vaikų darželį, ambulatoriją bei vaistinę pakeisti esamus šviestuvus</t>
  </si>
  <si>
    <t>komunaliniams</t>
  </si>
  <si>
    <t>BABRUNGO SENIŪNIJA</t>
  </si>
  <si>
    <t>kompiuteriui</t>
  </si>
  <si>
    <t>KULIŲ SENIŪNIJA</t>
  </si>
  <si>
    <t xml:space="preserve"> J. Tumo-Vaižganto gatvės dalies apšvietimas</t>
  </si>
  <si>
    <t>komunaliniams daugiau</t>
  </si>
  <si>
    <t>NAUSODŽIO SENIŪNIJA</t>
  </si>
  <si>
    <t>Internetinio ryšio stebėjimo kameroms prijungimas Kaušėnų rekreac.</t>
  </si>
  <si>
    <t>PAUKŠTAKIŲ SENIŪNIJA</t>
  </si>
  <si>
    <t>2,5 tūkst eurų Signalizacijos paslaugos (įrengimas) Atžalyno g. 9</t>
  </si>
  <si>
    <t>19,4 tūkst. eurų už parduotą turtą</t>
  </si>
  <si>
    <t>PLATELIŲ SENIŪNIJA</t>
  </si>
  <si>
    <t xml:space="preserve"> už parduotą turtą, </t>
  </si>
  <si>
    <t xml:space="preserve"> esamo apšvietimo tinklo plėtimas, atnaujinimas keičiant šviestuvus</t>
  </si>
  <si>
    <t>stumdoma sienų pertvara</t>
  </si>
  <si>
    <t>priešgaisrinio šulinio  įrengimas prie Platelių prūdo</t>
  </si>
  <si>
    <t>STALGĖNŲ SENIŪNIJA</t>
  </si>
  <si>
    <t xml:space="preserve"> už parduotą turtą</t>
  </si>
  <si>
    <t>ŠATEIKIŲ SENIŪNIJA</t>
  </si>
  <si>
    <t>trimeris - krūmapjovė</t>
  </si>
  <si>
    <t>perkeltos suderitos nepanaudotos lėšos apšvietimo įrengimui Lino g. iš 2025m.</t>
  </si>
  <si>
    <t>gaisrinės vandens paėmimo aikštelės įrengimas</t>
  </si>
  <si>
    <t>ŽEMAIČIŲ KALVARIJOS SENIŪNIJA</t>
  </si>
  <si>
    <t xml:space="preserve">atlaidams </t>
  </si>
  <si>
    <t>benzopjūklas,diskinis pjūklas</t>
  </si>
  <si>
    <t>perkeltos suderitos nepanaudotos lėšos apšvietimo įrengimo darbams Rotinėnų ir Šarnelės gyv. iš 2025m.</t>
  </si>
  <si>
    <t>priešgaisrinės nuovažos įrengimo darbų kaštai</t>
  </si>
  <si>
    <t>ŽLIBINŲ SENIŪNIJA</t>
  </si>
  <si>
    <t xml:space="preserve"> už parduotą turtą </t>
  </si>
  <si>
    <t xml:space="preserve"> Kantaučių kapinių vandens sistemos remonto darbams</t>
  </si>
  <si>
    <t>PRIEŠGAISRINEI SAUGAI</t>
  </si>
  <si>
    <t>PASLAUGŲ IR ŠVIETIMO PAGALBOS CENTRO VEIKLA</t>
  </si>
  <si>
    <t xml:space="preserve"> išeitinei kompensacijai</t>
  </si>
  <si>
    <t>kompiuteriams</t>
  </si>
  <si>
    <t>papildomai kompiuteriams</t>
  </si>
  <si>
    <t>mažiau komunalinės paslaugoms</t>
  </si>
  <si>
    <t>STIPRINTI PASIRENGIMĄ VYKDYTI VALSTYBINES MOBILIZACINES UŽDUOTIS, VALDYTI KRIZES IR EKSTREMALIĄSIAS SITUACIJAS BEI ŠALINTI JŲ PADARINIUS</t>
  </si>
  <si>
    <t xml:space="preserve">MERO REZERVAS </t>
  </si>
  <si>
    <t>SAVIVALDYBĖS ADMINISTRACIJOS VEIKLA</t>
  </si>
  <si>
    <t>10,0 tūkst. eurų baldai, 10,0 tūkst. nešiojami kmpiuteriai 10vnt.</t>
  </si>
  <si>
    <t>Kūdikio kraitelis naujagimiams</t>
  </si>
  <si>
    <t>Papildomai</t>
  </si>
  <si>
    <t>SAVIVALDYBĖS TARYBOS VEIKLA</t>
  </si>
  <si>
    <t xml:space="preserve">SAVIVALDYBĖS KONTROLĖS IR AUDITO TARNYBOS DARBO UŽTIKRINIMAS </t>
  </si>
  <si>
    <t>13,0 tūkst. eurų  DU pagal Kontrolės komiteto protokolą.</t>
  </si>
  <si>
    <t xml:space="preserve">KAIMO RĖMIMUI </t>
  </si>
  <si>
    <t>SAVIVALDYBĖS TURTO VALDYMAS</t>
  </si>
  <si>
    <t>ANTIKORUPCINIO SĄMONINGUMO DIDINIMAS</t>
  </si>
  <si>
    <t xml:space="preserve">PALŪKANŲ MOKĖJIMAS </t>
  </si>
  <si>
    <t xml:space="preserve">PASKOLŲ GRĄŽINIMAS </t>
  </si>
  <si>
    <t>APSAUGOS NUO SMURTO ARTIMOJE APLINKOJE PREVENCIJA</t>
  </si>
  <si>
    <t>LYČIŲ LYGYBĖS UŽTIKRINIMAS</t>
  </si>
  <si>
    <t>IŠ VISO (007) SAVIVALDYBĖS VEIKLOS VALDYMO PROGRAMAI</t>
  </si>
  <si>
    <t>(008) INFRASTRUKTŪROS OBJEKTŲ PRIEŽIŪROS IR ŪKINIŲ SUBJEKTŲ RĖMIMO PROGRAMA</t>
  </si>
  <si>
    <t>SAVIVALDYBĖS INFRASTRUKTŪROS OBJEKTŲ PLANAVIMAS, REMONTAS IR PRIEŽIŪRA</t>
  </si>
  <si>
    <t xml:space="preserve">SAVIVALDYBĖS INFRASTRUKTŪROS OBJEKTŲ PLĖTRA </t>
  </si>
  <si>
    <t xml:space="preserve">SAVIVALDYBĖS VIETINĖS REIKŠMĖS KELIAMS (GATVĖMS) TIESTI, TAISYTI, PRIŽIŪRĖTI IR SAUGAUS EISMO SĄLYGOMS UŽTIKRINTI </t>
  </si>
  <si>
    <t>Pagal Kaimo reikalų komiteto posėdžio protokolą A20-1734 nekilnojamo turto mokesčio, žemės mokesčio ir valstybinės žemės nuomos mokesčio dešimties procentų padidėjimą paskirstyti lygiomis dalimis kaimo ir miesto keliams 160 tūkst. Eurų iš jų 80,0 tūkst. iškelta į Plungės m. sen.</t>
  </si>
  <si>
    <t xml:space="preserve">SAVIVALDYBĖS VIETINĖS REIKŠMĖS KELIŲ(GATVIŲ) BEI EISMO SAUGUMO PRIEMONIŲ PLĖTRA, PRISIDEDANT PRIE DARNAUS JUDUMO </t>
  </si>
  <si>
    <t>INFRASTR. PLĖTRA SAV. IR FIZINIŲ AR JURID. ASMENŲ JUNGT. VEIKLOS PAGR.</t>
  </si>
  <si>
    <t xml:space="preserve">DALYVAUJAMOJO  BIUDŽETO ĮGYVENDINIMAS </t>
  </si>
  <si>
    <t xml:space="preserve">mokėjimui už 2024 m. atliktus darbus </t>
  </si>
  <si>
    <t>IŠ VISO (008) INFRASTR. OBJEKTŲ PRIEŽIŪROS IR ŪKINIŲ SUBJEKTŲ RĖMIMO PROGRAMAI</t>
  </si>
  <si>
    <t>IŠ VISO 2025 M./2026 M.  BIUDŽETAS SAVARANKIŠKOSIOMS SAVIVALDYBĖS FUNKCIJOMS - VISOS STRATEGINIO VEIKLOS PLANO PROGRAMOS</t>
  </si>
  <si>
    <t>2025m. Skolintos lėšos</t>
  </si>
  <si>
    <t>2026m. Projektas Skolintos lėšos</t>
  </si>
  <si>
    <t>2025m. Savar. Sav.f. Be skolintų lėšų</t>
  </si>
  <si>
    <t>2026m. Projektas Savar. Sav.f. Be skolintų lėšų</t>
  </si>
  <si>
    <t xml:space="preserve">Kitos išlaidos </t>
  </si>
  <si>
    <t>10 lentelė</t>
  </si>
  <si>
    <t xml:space="preserve"> 0,5 naujos pareigybės</t>
  </si>
  <si>
    <t>vairuotojo 1 ir kiemsargio 0,3 pareigybės</t>
  </si>
  <si>
    <t>vairuotojo 1 pareigybė</t>
  </si>
  <si>
    <t>mitybos organizatoriaus 0,25 pareigybės</t>
  </si>
  <si>
    <t>nebeformuojama spec. grupė: mažėja 2,2 mokytojo padėjėjų, 0,5 bendrosios praktikos slaugytojo, 0,5 virėjo pareigybių</t>
  </si>
  <si>
    <t xml:space="preserve">koncertmeisterio pareigybių sk. didėja 0,23 </t>
  </si>
  <si>
    <t xml:space="preserve"> mokytojų pareigybės didėja 1, didėja pedagogų koef.</t>
  </si>
  <si>
    <t>didėja trenerių pareigybės: įsteigta 2,4  - 56,8 tūkst. eurų ir  2,65 perkelta iš baseino -88,2 tūkst. eurų</t>
  </si>
  <si>
    <t>steigiama mobilaus jaunimo darbuotojo pareigybė</t>
  </si>
  <si>
    <t>1 nauja specialisto pareigybė</t>
  </si>
  <si>
    <t>0,5 darbininko pareigybės</t>
  </si>
  <si>
    <t>valgyklų įrengimui pereinant prie savarankiško maitinimo (41,6tūkst. eurų A.Jucio progimnazijai ir 69,2 tūkst. eurų Babrungo sk.) Prisijungė Babrungo skyrius</t>
  </si>
  <si>
    <t>grąžinamos 2025m. panaudotos  įstaigos pajamos skoloms dengti</t>
  </si>
  <si>
    <t>500 tūkst. eurų švietimo pagalbos finansavimui švietimo įstaigose: 423,5 vtūkst. eurų   perkeliama į įstaigas, o 76,5 tūkst. eurų paliekamas rezervas</t>
  </si>
  <si>
    <t xml:space="preserve"> kompiuterizavimo programos tęstinumui</t>
  </si>
  <si>
    <t xml:space="preserve">Savarankiškosioms funkcijoms su skolintomis lėšomis, likučiais ir  be dotacijų </t>
  </si>
  <si>
    <t>karjeros koordinatoriaus 0,2 pareigybės</t>
  </si>
  <si>
    <t>mažesnės komunalinės išlaidos</t>
  </si>
  <si>
    <t>steigiamas mobilaus jaunimo darbuotojo etatas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</si>
</sst>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00"/>
    <numFmt numFmtId="165" formatCode="0.0"/>
    <numFmt numFmtId="166" formatCode="#,##0.0"/>
    <numFmt numFmtId="167" formatCode="_-* #,##0.00_-;\-* #,##0.00_-;_-* &quot;-&quot;??_-;_-@"/>
    <numFmt numFmtId="168" formatCode="[$-10409]#0.000"/>
  </numFmts>
  <fonts count="71">
    <font>
      <sz val="10"/>
      <color rgb="FF000000"/>
      <name val="Calibri"/>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rgb="FF000000"/>
      <name val="&quot;\&quot;Times New Roman\&quot;&quot;"/>
    </font>
    <font>
      <sz val="11"/>
      <color rgb="FF000000"/>
      <name val="&quot;\&quot;Times New Roman\&quot;&quot;"/>
    </font>
    <font>
      <b/>
      <sz val="12"/>
      <color rgb="FF000000"/>
      <name val="Times New Roman"/>
      <family val="1"/>
      <charset val="186"/>
    </font>
    <font>
      <sz val="12"/>
      <color theme="1"/>
      <name val="Times New Roman"/>
      <family val="1"/>
      <charset val="186"/>
    </font>
    <font>
      <sz val="12"/>
      <color rgb="FF000000"/>
      <name val="Times New Roman"/>
      <family val="1"/>
      <charset val="186"/>
    </font>
    <font>
      <b/>
      <sz val="12"/>
      <color theme="1"/>
      <name val="Times New Roman"/>
      <family val="1"/>
      <charset val="186"/>
    </font>
    <font>
      <sz val="12"/>
      <name val="Times New Roman"/>
      <family val="1"/>
      <charset val="186"/>
    </font>
    <font>
      <sz val="10"/>
      <name val="Arial"/>
      <family val="2"/>
      <charset val="186"/>
    </font>
    <font>
      <sz val="8"/>
      <color theme="1"/>
      <name val="Times New Roman"/>
      <family val="1"/>
      <charset val="186"/>
    </font>
    <font>
      <sz val="10"/>
      <color theme="1"/>
      <name val="Times New Roman"/>
      <family val="1"/>
      <charset val="186"/>
    </font>
    <font>
      <sz val="10"/>
      <color rgb="FF000000"/>
      <name val="Calibri"/>
      <family val="2"/>
      <charset val="186"/>
      <scheme val="minor"/>
    </font>
    <font>
      <b/>
      <sz val="12"/>
      <name val="Times New Roman"/>
      <family val="1"/>
      <charset val="186"/>
    </font>
    <font>
      <sz val="11"/>
      <color theme="1"/>
      <name val="Calibri"/>
      <family val="2"/>
      <scheme val="minor"/>
    </font>
    <font>
      <b/>
      <sz val="11"/>
      <color theme="1"/>
      <name val="Times New Roman"/>
      <family val="1"/>
      <charset val="186"/>
    </font>
    <font>
      <sz val="11"/>
      <color theme="1"/>
      <name val="Times New Roman"/>
      <family val="1"/>
      <charset val="186"/>
    </font>
    <font>
      <sz val="10"/>
      <color rgb="FF000000"/>
      <name val="Calibri"/>
      <family val="2"/>
      <charset val="186"/>
      <scheme val="minor"/>
    </font>
    <font>
      <sz val="10"/>
      <color rgb="FF000000"/>
      <name val="Calibri"/>
      <family val="2"/>
      <charset val="186"/>
      <scheme val="minor"/>
    </font>
    <font>
      <sz val="11"/>
      <color rgb="FFFF0000"/>
      <name val="Times New Roman"/>
      <family val="1"/>
      <charset val="186"/>
    </font>
    <font>
      <sz val="10"/>
      <name val="TimesLT"/>
      <charset val="186"/>
    </font>
    <font>
      <sz val="11"/>
      <color rgb="FF000000"/>
      <name val="Calibri"/>
      <family val="2"/>
      <scheme val="minor"/>
    </font>
    <font>
      <sz val="10"/>
      <name val="Times New Roman Baltic"/>
      <charset val="186"/>
    </font>
    <font>
      <sz val="10"/>
      <color rgb="FF000000"/>
      <name val="Calibri"/>
      <family val="2"/>
      <charset val="186"/>
      <scheme val="minor"/>
    </font>
    <font>
      <sz val="10"/>
      <color rgb="FF000000"/>
      <name val="Calibri"/>
      <family val="2"/>
      <charset val="186"/>
    </font>
    <font>
      <sz val="10"/>
      <color rgb="FF000000"/>
      <name val="Calibri"/>
      <family val="2"/>
      <charset val="186"/>
      <scheme val="minor"/>
    </font>
    <font>
      <b/>
      <u/>
      <sz val="12"/>
      <color rgb="FFFF0000"/>
      <name val="Times New Roman"/>
      <family val="1"/>
      <charset val="186"/>
    </font>
    <font>
      <b/>
      <u/>
      <sz val="12"/>
      <color rgb="FF000000"/>
      <name val="Times New Roman"/>
      <family val="1"/>
      <charset val="186"/>
    </font>
    <font>
      <b/>
      <i/>
      <sz val="12"/>
      <color rgb="FF000000"/>
      <name val="Times New Roman"/>
      <family val="1"/>
      <charset val="186"/>
    </font>
    <font>
      <b/>
      <sz val="12"/>
      <color rgb="FFFF0000"/>
      <name val="Times New Roman"/>
      <family val="1"/>
      <charset val="186"/>
    </font>
    <font>
      <i/>
      <sz val="12"/>
      <color rgb="FF000000"/>
      <name val="Times New Roman"/>
      <family val="1"/>
      <charset val="186"/>
    </font>
    <font>
      <i/>
      <sz val="12"/>
      <color theme="1"/>
      <name val="Times New Roman"/>
      <family val="1"/>
      <charset val="186"/>
    </font>
    <font>
      <sz val="12"/>
      <color rgb="FFFF0000"/>
      <name val="Times New Roman"/>
      <family val="1"/>
      <charset val="186"/>
    </font>
    <font>
      <sz val="10"/>
      <color rgb="FF000000"/>
      <name val="Calibri"/>
      <family val="2"/>
      <charset val="186"/>
      <scheme val="minor"/>
    </font>
    <font>
      <b/>
      <sz val="14"/>
      <name val="Times New Roman"/>
      <family val="1"/>
      <charset val="186"/>
    </font>
    <font>
      <sz val="11"/>
      <name val="Times New Roman"/>
      <family val="1"/>
      <charset val="186"/>
    </font>
    <font>
      <b/>
      <sz val="11"/>
      <name val="Times New Roman"/>
      <family val="1"/>
      <charset val="186"/>
    </font>
    <font>
      <b/>
      <sz val="11"/>
      <color rgb="FF000000"/>
      <name val="Times New Roman"/>
      <family val="1"/>
      <charset val="186"/>
    </font>
    <font>
      <sz val="11"/>
      <color rgb="FF000000"/>
      <name val="Times New Roman"/>
      <family val="1"/>
      <charset val="186"/>
    </font>
    <font>
      <sz val="10"/>
      <name val="Times New Roman"/>
      <family val="1"/>
      <charset val="186"/>
    </font>
    <font>
      <sz val="10"/>
      <color rgb="FF000000"/>
      <name val="Times New Roman"/>
      <family val="1"/>
      <charset val="186"/>
    </font>
    <font>
      <b/>
      <sz val="10"/>
      <name val="Times New Roman"/>
      <family val="1"/>
      <charset val="186"/>
    </font>
    <font>
      <sz val="12"/>
      <name val="Times New Roman Baltic"/>
      <charset val="186"/>
    </font>
    <font>
      <sz val="12"/>
      <color rgb="FFFF0000"/>
      <name val="Times New Roman Baltic"/>
      <charset val="186"/>
    </font>
    <font>
      <sz val="12"/>
      <color theme="1"/>
      <name val="Times New Roman Baltic"/>
      <charset val="186"/>
    </font>
    <font>
      <sz val="12"/>
      <color theme="1"/>
      <name val="Calibri"/>
      <family val="2"/>
      <charset val="186"/>
      <scheme val="minor"/>
    </font>
    <font>
      <sz val="8"/>
      <name val="Times New Roman"/>
      <family val="1"/>
      <charset val="186"/>
    </font>
    <font>
      <i/>
      <sz val="8"/>
      <name val="Times New Roman"/>
      <family val="1"/>
      <charset val="186"/>
    </font>
    <font>
      <i/>
      <sz val="10"/>
      <name val="Times New Roman"/>
      <family val="1"/>
      <charset val="186"/>
    </font>
    <font>
      <sz val="9"/>
      <name val="Times New Roman"/>
      <family val="1"/>
      <charset val="186"/>
    </font>
    <font>
      <b/>
      <i/>
      <sz val="10"/>
      <name val="Times New Roman"/>
      <family val="1"/>
      <charset val="186"/>
    </font>
    <font>
      <sz val="9"/>
      <name val="Times New Roman"/>
      <family val="1"/>
    </font>
    <font>
      <sz val="9"/>
      <color indexed="10"/>
      <name val="Times New Roman"/>
      <family val="1"/>
    </font>
    <font>
      <b/>
      <sz val="9"/>
      <name val="Times New Roman"/>
      <family val="1"/>
      <charset val="186"/>
    </font>
    <font>
      <sz val="12"/>
      <color rgb="FF000000"/>
      <name val="Calibri"/>
      <family val="2"/>
      <charset val="186"/>
      <scheme val="minor"/>
    </font>
    <font>
      <b/>
      <sz val="12"/>
      <name val="Times New Roman Baltic"/>
      <charset val="186"/>
    </font>
    <font>
      <b/>
      <sz val="8"/>
      <name val="Times New Roman"/>
      <family val="1"/>
      <charset val="186"/>
    </font>
    <font>
      <b/>
      <sz val="12"/>
      <color theme="3"/>
      <name val="Times New Roman"/>
      <family val="1"/>
      <charset val="186"/>
    </font>
    <font>
      <b/>
      <i/>
      <sz val="12"/>
      <name val="Times New Roman"/>
      <family val="1"/>
      <charset val="186"/>
    </font>
  </fonts>
  <fills count="36">
    <fill>
      <patternFill patternType="none"/>
    </fill>
    <fill>
      <patternFill patternType="gray125"/>
    </fill>
    <fill>
      <patternFill patternType="solid">
        <fgColor rgb="FFD0CECE"/>
        <bgColor rgb="FFD0CECE"/>
      </patternFill>
    </fill>
    <fill>
      <patternFill patternType="solid">
        <fgColor rgb="FFFFFFFF"/>
        <bgColor rgb="FFFFFFFF"/>
      </patternFill>
    </fill>
    <fill>
      <patternFill patternType="solid">
        <fgColor rgb="FFD9EAD3"/>
        <bgColor rgb="FFD9EAD3"/>
      </patternFill>
    </fill>
    <fill>
      <patternFill patternType="solid">
        <fgColor theme="2"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9" tint="0.79998168889431442"/>
        <bgColor rgb="FFD9EAD3"/>
      </patternFill>
    </fill>
    <fill>
      <patternFill patternType="solid">
        <fgColor rgb="FFFEF2CB"/>
        <bgColor rgb="FFFEF2CB"/>
      </patternFill>
    </fill>
    <fill>
      <patternFill patternType="solid">
        <fgColor rgb="FFCCFFCC"/>
        <bgColor rgb="FFCCFFCC"/>
      </patternFill>
    </fill>
    <fill>
      <patternFill patternType="solid">
        <fgColor theme="0"/>
        <bgColor theme="0"/>
      </patternFill>
    </fill>
    <fill>
      <patternFill patternType="solid">
        <fgColor rgb="FFD9E2F3"/>
        <bgColor rgb="FFD9E2F3"/>
      </patternFill>
    </fill>
    <fill>
      <patternFill patternType="solid">
        <fgColor rgb="FFFFF2CC"/>
        <bgColor rgb="FFFFF2CC"/>
      </patternFill>
    </fill>
    <fill>
      <patternFill patternType="solid">
        <fgColor rgb="FFFBE4D5"/>
        <bgColor rgb="FFFBE4D5"/>
      </patternFill>
    </fill>
    <fill>
      <patternFill patternType="solid">
        <fgColor rgb="FFB6D7A8"/>
        <bgColor rgb="FFB6D7A8"/>
      </patternFill>
    </fill>
    <fill>
      <patternFill patternType="solid">
        <fgColor rgb="FF9CC2E5"/>
        <bgColor rgb="FF9CC2E5"/>
      </patternFill>
    </fill>
    <fill>
      <patternFill patternType="solid">
        <fgColor theme="4" tint="0.79998168889431442"/>
        <bgColor rgb="FFD9E2F3"/>
      </patternFill>
    </fill>
    <fill>
      <patternFill patternType="solid">
        <fgColor theme="5" tint="0.79998168889431442"/>
        <bgColor rgb="FFFBE4D5"/>
      </patternFill>
    </fill>
    <fill>
      <patternFill patternType="solid">
        <fgColor rgb="FFCFE2F3"/>
        <bgColor rgb="FFCFE2F3"/>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0.14999847407452621"/>
        <bgColor indexed="64"/>
      </patternFill>
    </fill>
    <fill>
      <patternFill patternType="solid">
        <fgColor theme="5" tint="0.59999389629810485"/>
        <bgColor indexed="64"/>
      </patternFill>
    </fill>
    <fill>
      <patternFill patternType="solid">
        <fgColor theme="7" tint="0.79998168889431442"/>
        <bgColor rgb="FFFFF2CC"/>
      </patternFill>
    </fill>
    <fill>
      <patternFill patternType="solid">
        <fgColor theme="5" tint="0.39997558519241921"/>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rgb="FF92D050"/>
      </patternFill>
    </fill>
    <fill>
      <patternFill patternType="solid">
        <fgColor theme="9" tint="0.79998168889431442"/>
        <bgColor rgb="FFFF0000"/>
      </patternFill>
    </fill>
  </fills>
  <borders count="83">
    <border>
      <left/>
      <right/>
      <top/>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s>
  <cellStyleXfs count="34">
    <xf numFmtId="0" fontId="0" fillId="0" borderId="0"/>
    <xf numFmtId="0" fontId="21" fillId="0" borderId="14"/>
    <xf numFmtId="0" fontId="21" fillId="0" borderId="14"/>
    <xf numFmtId="0" fontId="13" fillId="0" borderId="14"/>
    <xf numFmtId="0" fontId="12" fillId="0" borderId="14"/>
    <xf numFmtId="0" fontId="24" fillId="0" borderId="14"/>
    <xf numFmtId="43" fontId="24" fillId="0" borderId="14" applyFont="0" applyFill="0" applyBorder="0" applyAlignment="0" applyProtection="0"/>
    <xf numFmtId="0" fontId="26" fillId="0" borderId="14"/>
    <xf numFmtId="0" fontId="29" fillId="0" borderId="14"/>
    <xf numFmtId="0" fontId="30" fillId="0" borderId="14"/>
    <xf numFmtId="0" fontId="11" fillId="0" borderId="14"/>
    <xf numFmtId="0" fontId="11" fillId="0" borderId="14"/>
    <xf numFmtId="0" fontId="10" fillId="0" borderId="14"/>
    <xf numFmtId="0" fontId="21" fillId="0" borderId="14"/>
    <xf numFmtId="0" fontId="32" fillId="0" borderId="14"/>
    <xf numFmtId="0" fontId="33" fillId="0" borderId="14"/>
    <xf numFmtId="0" fontId="9" fillId="0" borderId="14"/>
    <xf numFmtId="0" fontId="8" fillId="0" borderId="14"/>
    <xf numFmtId="0" fontId="34" fillId="0" borderId="14"/>
    <xf numFmtId="0" fontId="35" fillId="0" borderId="14"/>
    <xf numFmtId="0" fontId="7" fillId="0" borderId="14"/>
    <xf numFmtId="0" fontId="7" fillId="0" borderId="14"/>
    <xf numFmtId="0" fontId="37" fillId="0" borderId="14"/>
    <xf numFmtId="0" fontId="6" fillId="0" borderId="14"/>
    <xf numFmtId="0" fontId="5" fillId="0" borderId="14"/>
    <xf numFmtId="0" fontId="45" fillId="0" borderId="14"/>
    <xf numFmtId="0" fontId="5" fillId="0" borderId="14"/>
    <xf numFmtId="0" fontId="4" fillId="0" borderId="14"/>
    <xf numFmtId="0" fontId="21" fillId="0" borderId="14"/>
    <xf numFmtId="0" fontId="3" fillId="0" borderId="14"/>
    <xf numFmtId="0" fontId="3" fillId="0" borderId="14"/>
    <xf numFmtId="0" fontId="2" fillId="0" borderId="14"/>
    <xf numFmtId="0" fontId="34" fillId="0" borderId="14"/>
    <xf numFmtId="0" fontId="1" fillId="0" borderId="14"/>
  </cellStyleXfs>
  <cellXfs count="945">
    <xf numFmtId="0" fontId="0" fillId="0" borderId="0" xfId="0" applyFont="1" applyAlignment="1"/>
    <xf numFmtId="0" fontId="26" fillId="0" borderId="14" xfId="7" applyBorder="1"/>
    <xf numFmtId="0" fontId="26" fillId="0" borderId="14" xfId="7"/>
    <xf numFmtId="0" fontId="28" fillId="0" borderId="16" xfId="7" applyFont="1" applyBorder="1" applyAlignment="1">
      <alignment wrapText="1"/>
    </xf>
    <xf numFmtId="0" fontId="28" fillId="0" borderId="14" xfId="7" applyFont="1" applyFill="1" applyBorder="1" applyAlignment="1">
      <alignment wrapText="1"/>
    </xf>
    <xf numFmtId="0" fontId="28" fillId="0" borderId="14" xfId="7" applyFont="1" applyFill="1" applyBorder="1"/>
    <xf numFmtId="0" fontId="26" fillId="0" borderId="14" xfId="7" applyFill="1" applyBorder="1"/>
    <xf numFmtId="0" fontId="22" fillId="0" borderId="14" xfId="17" applyFont="1" applyAlignment="1">
      <alignment vertical="center"/>
    </xf>
    <xf numFmtId="0" fontId="22" fillId="0" borderId="14" xfId="17" applyFont="1" applyAlignment="1">
      <alignment horizontal="center" vertical="center"/>
    </xf>
    <xf numFmtId="0" fontId="23" fillId="0" borderId="14" xfId="17" applyFont="1" applyAlignment="1">
      <alignment horizontal="left" vertical="center" wrapText="1"/>
    </xf>
    <xf numFmtId="0" fontId="15" fillId="0" borderId="14" xfId="5" applyFont="1" applyAlignment="1">
      <alignment horizontal="left" vertical="top" wrapText="1"/>
    </xf>
    <xf numFmtId="0" fontId="14" fillId="0" borderId="14" xfId="5" applyFont="1" applyAlignment="1">
      <alignment horizontal="left" vertical="top" wrapText="1"/>
    </xf>
    <xf numFmtId="0" fontId="28" fillId="0" borderId="14" xfId="20" applyFont="1"/>
    <xf numFmtId="0" fontId="28" fillId="0" borderId="14" xfId="20" applyFont="1" applyAlignment="1"/>
    <xf numFmtId="0" fontId="27" fillId="0" borderId="14" xfId="20" applyFont="1" applyFill="1" applyBorder="1" applyAlignment="1">
      <alignment horizontal="center" wrapText="1"/>
    </xf>
    <xf numFmtId="0" fontId="28" fillId="0" borderId="14" xfId="20" applyFont="1" applyFill="1" applyBorder="1" applyAlignment="1">
      <alignment horizontal="center" wrapText="1"/>
    </xf>
    <xf numFmtId="0" fontId="20" fillId="0" borderId="35" xfId="20" applyFont="1" applyBorder="1" applyAlignment="1">
      <alignment vertical="center" wrapText="1"/>
    </xf>
    <xf numFmtId="0" fontId="17" fillId="0" borderId="35" xfId="21" applyFont="1" applyBorder="1" applyAlignment="1">
      <alignment horizontal="center" vertical="center"/>
    </xf>
    <xf numFmtId="166" fontId="20" fillId="0" borderId="35" xfId="20" applyNumberFormat="1" applyFont="1" applyBorder="1" applyAlignment="1">
      <alignment horizontal="center" vertical="center"/>
    </xf>
    <xf numFmtId="0" fontId="20" fillId="0" borderId="35" xfId="20" applyFont="1" applyBorder="1" applyAlignment="1">
      <alignment horizontal="center" vertical="center" wrapText="1"/>
    </xf>
    <xf numFmtId="0" fontId="18" fillId="0" borderId="39" xfId="20" applyFont="1" applyBorder="1" applyAlignment="1">
      <alignment vertical="center"/>
    </xf>
    <xf numFmtId="166" fontId="20" fillId="0" borderId="39" xfId="20" applyNumberFormat="1" applyFont="1" applyBorder="1" applyAlignment="1">
      <alignment horizontal="center" vertical="center"/>
    </xf>
    <xf numFmtId="0" fontId="28" fillId="0" borderId="14" xfId="20" applyFont="1" applyFill="1"/>
    <xf numFmtId="0" fontId="20" fillId="0" borderId="35" xfId="20" applyFont="1" applyFill="1" applyBorder="1" applyAlignment="1">
      <alignment vertical="center" wrapText="1"/>
    </xf>
    <xf numFmtId="0" fontId="20" fillId="0" borderId="39" xfId="20" applyFont="1" applyFill="1" applyBorder="1" applyAlignment="1">
      <alignment vertical="center" wrapText="1"/>
    </xf>
    <xf numFmtId="0" fontId="20" fillId="0" borderId="39" xfId="20" applyFont="1" applyFill="1" applyBorder="1" applyAlignment="1">
      <alignment horizontal="center" vertical="center" wrapText="1"/>
    </xf>
    <xf numFmtId="0" fontId="31" fillId="0" borderId="14" xfId="20" applyFont="1" applyFill="1"/>
    <xf numFmtId="0" fontId="36" fillId="0" borderId="14" xfId="5" applyFont="1" applyAlignment="1">
      <alignment horizontal="left" vertical="top" wrapText="1"/>
    </xf>
    <xf numFmtId="0" fontId="24" fillId="0" borderId="14" xfId="5" applyFont="1" applyAlignment="1"/>
    <xf numFmtId="0" fontId="25" fillId="22" borderId="28" xfId="2" applyFont="1" applyFill="1" applyBorder="1" applyAlignment="1">
      <alignment horizontal="left" vertical="top" wrapText="1"/>
    </xf>
    <xf numFmtId="165" fontId="20" fillId="6" borderId="16" xfId="2" applyNumberFormat="1" applyFont="1" applyFill="1" applyBorder="1" applyAlignment="1">
      <alignment horizontal="center" vertical="center" wrapText="1"/>
    </xf>
    <xf numFmtId="165" fontId="20" fillId="6" borderId="21" xfId="2" applyNumberFormat="1" applyFont="1" applyFill="1" applyBorder="1" applyAlignment="1">
      <alignment horizontal="center" vertical="center" wrapText="1"/>
    </xf>
    <xf numFmtId="0" fontId="25" fillId="22" borderId="23" xfId="2" applyFont="1" applyFill="1" applyBorder="1" applyAlignment="1">
      <alignment horizontal="left" vertical="top" wrapText="1"/>
    </xf>
    <xf numFmtId="165" fontId="20" fillId="6" borderId="22" xfId="2" applyNumberFormat="1" applyFont="1" applyFill="1" applyBorder="1" applyAlignment="1">
      <alignment horizontal="center" vertical="center" wrapText="1"/>
    </xf>
    <xf numFmtId="165" fontId="20" fillId="6" borderId="17" xfId="2" applyNumberFormat="1" applyFont="1" applyFill="1" applyBorder="1" applyAlignment="1">
      <alignment horizontal="center" vertical="center" wrapText="1"/>
    </xf>
    <xf numFmtId="0" fontId="25" fillId="22" borderId="26" xfId="2" applyFont="1" applyFill="1" applyBorder="1" applyAlignment="1">
      <alignment horizontal="left" vertical="top" wrapText="1"/>
    </xf>
    <xf numFmtId="0" fontId="20" fillId="0" borderId="16" xfId="2" applyFont="1" applyFill="1" applyBorder="1" applyAlignment="1">
      <alignment horizontal="left" vertical="top" wrapText="1"/>
    </xf>
    <xf numFmtId="0" fontId="25" fillId="22" borderId="30" xfId="2" applyFont="1" applyFill="1" applyBorder="1" applyAlignment="1">
      <alignment horizontal="left" vertical="top" wrapText="1"/>
    </xf>
    <xf numFmtId="165" fontId="20" fillId="0" borderId="16" xfId="2" applyNumberFormat="1" applyFont="1" applyFill="1" applyBorder="1" applyAlignment="1">
      <alignment horizontal="center" vertical="center" wrapText="1"/>
    </xf>
    <xf numFmtId="0" fontId="25" fillId="22" borderId="32" xfId="2" applyFont="1" applyFill="1" applyBorder="1" applyAlignment="1">
      <alignment horizontal="left" vertical="top" wrapText="1"/>
    </xf>
    <xf numFmtId="0" fontId="20" fillId="0" borderId="36" xfId="2" applyFont="1" applyFill="1" applyBorder="1" applyAlignment="1">
      <alignment horizontal="left" vertical="center" wrapText="1"/>
    </xf>
    <xf numFmtId="0" fontId="25" fillId="22" borderId="47" xfId="2" applyFont="1" applyFill="1" applyBorder="1" applyAlignment="1">
      <alignment horizontal="left" vertical="top" wrapText="1"/>
    </xf>
    <xf numFmtId="0" fontId="25" fillId="22" borderId="44" xfId="2" applyFont="1" applyFill="1" applyBorder="1" applyAlignment="1">
      <alignment horizontal="left" vertical="top" wrapText="1"/>
    </xf>
    <xf numFmtId="0" fontId="25" fillId="22" borderId="42" xfId="2" applyFont="1" applyFill="1" applyBorder="1" applyAlignment="1">
      <alignment horizontal="left" vertical="top" wrapText="1"/>
    </xf>
    <xf numFmtId="165" fontId="20" fillId="22" borderId="48" xfId="2" applyNumberFormat="1" applyFont="1" applyFill="1" applyBorder="1" applyAlignment="1">
      <alignment horizontal="center" vertical="center" wrapText="1"/>
    </xf>
    <xf numFmtId="165" fontId="25" fillId="23" borderId="49" xfId="2" applyNumberFormat="1" applyFont="1" applyFill="1" applyBorder="1" applyAlignment="1">
      <alignment horizontal="center" vertical="center" wrapText="1"/>
    </xf>
    <xf numFmtId="165" fontId="25" fillId="22" borderId="22" xfId="2" applyNumberFormat="1" applyFont="1" applyFill="1" applyBorder="1" applyAlignment="1">
      <alignment vertical="center" wrapText="1"/>
    </xf>
    <xf numFmtId="165" fontId="20" fillId="0" borderId="17" xfId="2" applyNumberFormat="1" applyFont="1" applyFill="1" applyBorder="1" applyAlignment="1">
      <alignment vertical="center" wrapText="1"/>
    </xf>
    <xf numFmtId="165" fontId="20" fillId="0" borderId="16" xfId="2" applyNumberFormat="1" applyFont="1" applyFill="1" applyBorder="1" applyAlignment="1">
      <alignment vertical="center" wrapText="1"/>
    </xf>
    <xf numFmtId="165" fontId="25" fillId="22" borderId="16" xfId="2" applyNumberFormat="1" applyFont="1" applyFill="1" applyBorder="1" applyAlignment="1">
      <alignment vertical="center" wrapText="1"/>
    </xf>
    <xf numFmtId="165" fontId="25" fillId="23" borderId="29" xfId="2" applyNumberFormat="1" applyFont="1" applyFill="1" applyBorder="1" applyAlignment="1">
      <alignment vertical="center" wrapText="1"/>
    </xf>
    <xf numFmtId="165" fontId="25" fillId="23" borderId="46" xfId="2" applyNumberFormat="1" applyFont="1" applyFill="1" applyBorder="1" applyAlignment="1">
      <alignment horizontal="center" vertical="center" wrapText="1"/>
    </xf>
    <xf numFmtId="165" fontId="25" fillId="23" borderId="16" xfId="2" applyNumberFormat="1" applyFont="1" applyFill="1" applyBorder="1" applyAlignment="1">
      <alignment vertical="center" wrapText="1"/>
    </xf>
    <xf numFmtId="165" fontId="25" fillId="23" borderId="16" xfId="2" applyNumberFormat="1" applyFont="1" applyFill="1" applyBorder="1" applyAlignment="1">
      <alignment horizontal="center" vertical="center" wrapText="1"/>
    </xf>
    <xf numFmtId="0" fontId="24" fillId="0" borderId="14" xfId="5" applyFont="1" applyAlignment="1"/>
    <xf numFmtId="0" fontId="20" fillId="0" borderId="27" xfId="20" applyFont="1" applyBorder="1" applyAlignment="1">
      <alignment horizontal="left" vertical="center" wrapText="1"/>
    </xf>
    <xf numFmtId="164" fontId="20" fillId="0" borderId="27" xfId="21" applyNumberFormat="1" applyFont="1" applyBorder="1" applyAlignment="1">
      <alignment horizontal="center" vertical="center"/>
    </xf>
    <xf numFmtId="0" fontId="20" fillId="0" borderId="27" xfId="20" applyFont="1" applyFill="1" applyBorder="1" applyAlignment="1">
      <alignment horizontal="left" vertical="center" wrapText="1"/>
    </xf>
    <xf numFmtId="0" fontId="20" fillId="0" borderId="40" xfId="20" applyFont="1" applyFill="1" applyBorder="1" applyAlignment="1">
      <alignment horizontal="center" vertical="center" wrapText="1"/>
    </xf>
    <xf numFmtId="0" fontId="20" fillId="0" borderId="35" xfId="20" applyFont="1" applyFill="1" applyBorder="1" applyAlignment="1">
      <alignment horizontal="center" vertical="center" wrapText="1"/>
    </xf>
    <xf numFmtId="165" fontId="20" fillId="22" borderId="22" xfId="2" applyNumberFormat="1" applyFont="1" applyFill="1" applyBorder="1" applyAlignment="1">
      <alignment horizontal="center" vertical="center" wrapText="1"/>
    </xf>
    <xf numFmtId="0" fontId="20" fillId="6" borderId="16" xfId="2" applyFont="1" applyFill="1" applyBorder="1" applyAlignment="1">
      <alignment horizontal="left" vertical="top" wrapText="1"/>
    </xf>
    <xf numFmtId="0" fontId="20" fillId="0" borderId="21" xfId="0" applyFont="1" applyFill="1" applyBorder="1" applyAlignment="1">
      <alignment wrapText="1"/>
    </xf>
    <xf numFmtId="0" fontId="17" fillId="0" borderId="14" xfId="24" applyFont="1" applyAlignment="1">
      <alignment vertical="center"/>
    </xf>
    <xf numFmtId="0" fontId="17" fillId="0" borderId="14" xfId="24" applyFont="1"/>
    <xf numFmtId="0" fontId="17" fillId="0" borderId="14" xfId="24" applyFont="1" applyAlignment="1">
      <alignment horizontal="center" vertical="center"/>
    </xf>
    <xf numFmtId="49" fontId="19" fillId="6" borderId="16" xfId="24" applyNumberFormat="1" applyFont="1" applyFill="1" applyBorder="1" applyAlignment="1">
      <alignment horizontal="center" vertical="center" wrapText="1"/>
    </xf>
    <xf numFmtId="0" fontId="19" fillId="6" borderId="38" xfId="24" applyFont="1" applyFill="1" applyBorder="1" applyAlignment="1">
      <alignment horizontal="center" vertical="center"/>
    </xf>
    <xf numFmtId="165" fontId="19" fillId="22" borderId="44" xfId="24" applyNumberFormat="1" applyFont="1" applyFill="1" applyBorder="1" applyAlignment="1">
      <alignment horizontal="center" vertical="center"/>
    </xf>
    <xf numFmtId="49" fontId="17" fillId="6" borderId="16" xfId="24" applyNumberFormat="1" applyFont="1" applyFill="1" applyBorder="1" applyAlignment="1">
      <alignment horizontal="center" vertical="center" wrapText="1"/>
    </xf>
    <xf numFmtId="0" fontId="17" fillId="6" borderId="21" xfId="24" applyFont="1" applyFill="1" applyBorder="1" applyAlignment="1">
      <alignment horizontal="justify" vertical="center" wrapText="1"/>
    </xf>
    <xf numFmtId="49" fontId="17" fillId="6" borderId="17" xfId="24" applyNumberFormat="1" applyFont="1" applyFill="1" applyBorder="1" applyAlignment="1">
      <alignment horizontal="center" vertical="center" wrapText="1"/>
    </xf>
    <xf numFmtId="0" fontId="17" fillId="0" borderId="17" xfId="24" applyFont="1" applyFill="1" applyBorder="1" applyAlignment="1">
      <alignment horizontal="justify" vertical="center" wrapText="1"/>
    </xf>
    <xf numFmtId="49" fontId="17" fillId="6" borderId="14" xfId="24" applyNumberFormat="1" applyFont="1" applyFill="1" applyBorder="1" applyAlignment="1">
      <alignment horizontal="center" vertical="center" wrapText="1"/>
    </xf>
    <xf numFmtId="0" fontId="20" fillId="0" borderId="16" xfId="24" applyFont="1" applyFill="1" applyBorder="1" applyAlignment="1">
      <alignment horizontal="justify" vertical="center" wrapText="1"/>
    </xf>
    <xf numFmtId="0" fontId="16" fillId="6" borderId="32" xfId="24" applyFont="1" applyFill="1" applyBorder="1" applyAlignment="1">
      <alignment horizontal="center" vertical="center"/>
    </xf>
    <xf numFmtId="0" fontId="17" fillId="6" borderId="14" xfId="24" applyFont="1" applyFill="1"/>
    <xf numFmtId="49" fontId="17" fillId="6" borderId="22" xfId="24" applyNumberFormat="1" applyFont="1" applyFill="1" applyBorder="1" applyAlignment="1">
      <alignment horizontal="center" vertical="center" wrapText="1"/>
    </xf>
    <xf numFmtId="0" fontId="17" fillId="6" borderId="22" xfId="24" applyFont="1" applyFill="1" applyBorder="1" applyAlignment="1">
      <alignment horizontal="justify" vertical="center" wrapText="1"/>
    </xf>
    <xf numFmtId="0" fontId="17" fillId="6" borderId="16" xfId="24" applyFont="1" applyFill="1" applyBorder="1" applyAlignment="1">
      <alignment horizontal="justify" vertical="center" wrapText="1"/>
    </xf>
    <xf numFmtId="0" fontId="44" fillId="0" borderId="14" xfId="24" applyFont="1"/>
    <xf numFmtId="0" fontId="20" fillId="6" borderId="17" xfId="24" applyFont="1" applyFill="1" applyBorder="1" applyAlignment="1">
      <alignment horizontal="justify" vertical="center" wrapText="1"/>
    </xf>
    <xf numFmtId="0" fontId="20" fillId="6" borderId="16" xfId="24" applyFont="1" applyFill="1" applyBorder="1" applyAlignment="1">
      <alignment horizontal="justify" vertical="center" wrapText="1"/>
    </xf>
    <xf numFmtId="0" fontId="16" fillId="6" borderId="45" xfId="24" applyFont="1" applyFill="1" applyBorder="1" applyAlignment="1">
      <alignment horizontal="center" vertical="center"/>
    </xf>
    <xf numFmtId="165" fontId="19" fillId="22" borderId="21" xfId="24" applyNumberFormat="1" applyFont="1" applyFill="1" applyBorder="1" applyAlignment="1">
      <alignment horizontal="center" vertical="center"/>
    </xf>
    <xf numFmtId="0" fontId="18" fillId="6" borderId="16" xfId="24" applyFont="1" applyFill="1" applyBorder="1" applyAlignment="1">
      <alignment horizontal="center" vertical="center"/>
    </xf>
    <xf numFmtId="165" fontId="17" fillId="6" borderId="16" xfId="24" applyNumberFormat="1" applyFont="1" applyFill="1" applyBorder="1" applyAlignment="1">
      <alignment horizontal="center" vertical="center"/>
    </xf>
    <xf numFmtId="0" fontId="18" fillId="6" borderId="14" xfId="24" applyFont="1" applyFill="1" applyBorder="1" applyAlignment="1">
      <alignment horizontal="center" vertical="center"/>
    </xf>
    <xf numFmtId="49" fontId="17" fillId="0" borderId="16" xfId="24" applyNumberFormat="1" applyFont="1" applyFill="1" applyBorder="1" applyAlignment="1">
      <alignment horizontal="center" vertical="center" wrapText="1"/>
    </xf>
    <xf numFmtId="0" fontId="17" fillId="0" borderId="14" xfId="24" applyFont="1" applyFill="1"/>
    <xf numFmtId="0" fontId="16" fillId="6" borderId="30" xfId="24" applyFont="1" applyFill="1" applyBorder="1" applyAlignment="1">
      <alignment horizontal="center" vertical="center"/>
    </xf>
    <xf numFmtId="165" fontId="19" fillId="22" borderId="22" xfId="24" applyNumberFormat="1" applyFont="1" applyFill="1" applyBorder="1" applyAlignment="1">
      <alignment horizontal="center" vertical="center"/>
    </xf>
    <xf numFmtId="0" fontId="20" fillId="6" borderId="46" xfId="24" applyFont="1" applyFill="1" applyBorder="1" applyAlignment="1">
      <alignment horizontal="left" vertical="center" wrapText="1"/>
    </xf>
    <xf numFmtId="165" fontId="19" fillId="22" borderId="16" xfId="24" applyNumberFormat="1" applyFont="1" applyFill="1" applyBorder="1" applyAlignment="1">
      <alignment horizontal="center" vertical="center"/>
    </xf>
    <xf numFmtId="49" fontId="19" fillId="6" borderId="23" xfId="24" applyNumberFormat="1" applyFont="1" applyFill="1" applyBorder="1" applyAlignment="1">
      <alignment horizontal="center" vertical="center" wrapText="1"/>
    </xf>
    <xf numFmtId="0" fontId="17" fillId="0" borderId="31" xfId="24" applyFont="1" applyBorder="1"/>
    <xf numFmtId="49" fontId="17" fillId="0" borderId="36" xfId="24" applyNumberFormat="1" applyFont="1" applyFill="1" applyBorder="1" applyAlignment="1">
      <alignment horizontal="center" vertical="center" wrapText="1"/>
    </xf>
    <xf numFmtId="0" fontId="17" fillId="0" borderId="36" xfId="24" applyFont="1" applyFill="1" applyBorder="1" applyAlignment="1">
      <alignment horizontal="left" vertical="center" wrapText="1"/>
    </xf>
    <xf numFmtId="0" fontId="17" fillId="0" borderId="16" xfId="24" applyFont="1" applyFill="1" applyBorder="1" applyAlignment="1">
      <alignment horizontal="left" vertical="center" wrapText="1"/>
    </xf>
    <xf numFmtId="49" fontId="19" fillId="6" borderId="32" xfId="24" applyNumberFormat="1" applyFont="1" applyFill="1" applyBorder="1" applyAlignment="1">
      <alignment horizontal="center" vertical="center" wrapText="1"/>
    </xf>
    <xf numFmtId="0" fontId="17" fillId="6" borderId="14" xfId="24" applyFont="1" applyFill="1" applyBorder="1" applyAlignment="1">
      <alignment horizontal="center" vertical="center"/>
    </xf>
    <xf numFmtId="165" fontId="17" fillId="6" borderId="21" xfId="24" applyNumberFormat="1" applyFont="1" applyFill="1" applyBorder="1" applyAlignment="1">
      <alignment horizontal="center" vertical="center"/>
    </xf>
    <xf numFmtId="49" fontId="19" fillId="6" borderId="30" xfId="24" applyNumberFormat="1" applyFont="1" applyFill="1" applyBorder="1" applyAlignment="1">
      <alignment horizontal="center" vertical="center" wrapText="1"/>
    </xf>
    <xf numFmtId="0" fontId="19" fillId="23" borderId="28" xfId="24" applyFont="1" applyFill="1" applyBorder="1" applyAlignment="1">
      <alignment horizontal="right" vertical="center" wrapText="1"/>
    </xf>
    <xf numFmtId="49" fontId="19" fillId="6" borderId="22" xfId="24" applyNumberFormat="1" applyFont="1" applyFill="1" applyBorder="1" applyAlignment="1">
      <alignment horizontal="center" vertical="center" wrapText="1"/>
    </xf>
    <xf numFmtId="1" fontId="19" fillId="6" borderId="22" xfId="24" applyNumberFormat="1" applyFont="1" applyFill="1" applyBorder="1" applyAlignment="1">
      <alignment horizontal="center" vertical="center" wrapText="1"/>
    </xf>
    <xf numFmtId="1" fontId="17" fillId="0" borderId="16" xfId="24" applyNumberFormat="1" applyFont="1" applyFill="1" applyBorder="1" applyAlignment="1">
      <alignment horizontal="center" vertical="center" wrapText="1"/>
    </xf>
    <xf numFmtId="0" fontId="44" fillId="0" borderId="14" xfId="24" applyFont="1" applyFill="1"/>
    <xf numFmtId="1" fontId="19" fillId="6" borderId="16" xfId="24" applyNumberFormat="1" applyFont="1" applyFill="1" applyBorder="1" applyAlignment="1">
      <alignment horizontal="center" vertical="center" wrapText="1"/>
    </xf>
    <xf numFmtId="2" fontId="19" fillId="22" borderId="16" xfId="24" applyNumberFormat="1" applyFont="1" applyFill="1" applyBorder="1" applyAlignment="1">
      <alignment horizontal="center" vertical="center"/>
    </xf>
    <xf numFmtId="1" fontId="17" fillId="6" borderId="16" xfId="24" applyNumberFormat="1" applyFont="1" applyFill="1" applyBorder="1" applyAlignment="1">
      <alignment horizontal="center" vertical="center" wrapText="1"/>
    </xf>
    <xf numFmtId="1" fontId="19" fillId="6" borderId="37" xfId="24" applyNumberFormat="1" applyFont="1" applyFill="1" applyBorder="1" applyAlignment="1">
      <alignment horizontal="center" vertical="center" wrapText="1"/>
    </xf>
    <xf numFmtId="1" fontId="19" fillId="6" borderId="18" xfId="24" applyNumberFormat="1" applyFont="1" applyFill="1" applyBorder="1" applyAlignment="1">
      <alignment horizontal="center" vertical="center" wrapText="1"/>
    </xf>
    <xf numFmtId="1" fontId="19" fillId="6" borderId="36" xfId="24" applyNumberFormat="1" applyFont="1" applyFill="1" applyBorder="1" applyAlignment="1">
      <alignment horizontal="center" vertical="center" wrapText="1"/>
    </xf>
    <xf numFmtId="1" fontId="17" fillId="6" borderId="18" xfId="24" applyNumberFormat="1" applyFont="1" applyFill="1" applyBorder="1" applyAlignment="1">
      <alignment horizontal="center" vertical="center" wrapText="1"/>
    </xf>
    <xf numFmtId="0" fontId="17" fillId="0" borderId="16" xfId="24" applyFont="1" applyFill="1" applyBorder="1" applyAlignment="1">
      <alignment wrapText="1"/>
    </xf>
    <xf numFmtId="0" fontId="19" fillId="6" borderId="36" xfId="24" applyFont="1" applyFill="1" applyBorder="1" applyAlignment="1">
      <alignment horizontal="center" vertical="center"/>
    </xf>
    <xf numFmtId="0" fontId="19" fillId="22" borderId="16" xfId="24" applyFont="1" applyFill="1" applyBorder="1" applyAlignment="1">
      <alignment vertical="center" wrapText="1"/>
    </xf>
    <xf numFmtId="0" fontId="17" fillId="6" borderId="18" xfId="24" applyFont="1" applyFill="1" applyBorder="1" applyAlignment="1">
      <alignment horizontal="center" vertical="center"/>
    </xf>
    <xf numFmtId="0" fontId="17" fillId="0" borderId="16" xfId="24" applyFont="1" applyFill="1" applyBorder="1" applyAlignment="1">
      <alignment vertical="center" wrapText="1"/>
    </xf>
    <xf numFmtId="0" fontId="19" fillId="6" borderId="46" xfId="24" applyFont="1" applyFill="1" applyBorder="1" applyAlignment="1">
      <alignment horizontal="center" vertical="center"/>
    </xf>
    <xf numFmtId="0" fontId="19" fillId="23" borderId="16" xfId="24" applyFont="1" applyFill="1" applyBorder="1" applyAlignment="1">
      <alignment vertical="center" wrapText="1"/>
    </xf>
    <xf numFmtId="165" fontId="19" fillId="23" borderId="16" xfId="24" applyNumberFormat="1" applyFont="1" applyFill="1" applyBorder="1" applyAlignment="1">
      <alignment horizontal="center" vertical="center"/>
    </xf>
    <xf numFmtId="0" fontId="19" fillId="6" borderId="18" xfId="24" applyFont="1" applyFill="1" applyBorder="1" applyAlignment="1">
      <alignment horizontal="center" vertical="center"/>
    </xf>
    <xf numFmtId="0" fontId="17" fillId="6" borderId="16" xfId="24" applyFont="1" applyFill="1" applyBorder="1" applyAlignment="1">
      <alignment horizontal="left" vertical="center" wrapText="1"/>
    </xf>
    <xf numFmtId="165" fontId="17" fillId="6" borderId="16" xfId="24" applyNumberFormat="1" applyFont="1" applyFill="1" applyBorder="1" applyAlignment="1">
      <alignment horizontal="center" vertical="center" wrapText="1"/>
    </xf>
    <xf numFmtId="0" fontId="19" fillId="6" borderId="14" xfId="24" applyFont="1" applyFill="1" applyAlignment="1">
      <alignment vertical="center"/>
    </xf>
    <xf numFmtId="0" fontId="19" fillId="23" borderId="16" xfId="24" applyFont="1" applyFill="1" applyBorder="1" applyAlignment="1">
      <alignment wrapText="1"/>
    </xf>
    <xf numFmtId="0" fontId="19" fillId="23" borderId="16" xfId="24" applyFont="1" applyFill="1" applyBorder="1"/>
    <xf numFmtId="49" fontId="17" fillId="6" borderId="16" xfId="24" applyNumberFormat="1" applyFont="1" applyFill="1" applyBorder="1" applyAlignment="1">
      <alignment horizontal="center" vertical="center"/>
    </xf>
    <xf numFmtId="0" fontId="17" fillId="6" borderId="16" xfId="24" applyFont="1" applyFill="1" applyBorder="1"/>
    <xf numFmtId="165" fontId="20" fillId="6" borderId="16" xfId="24" applyNumberFormat="1" applyFont="1" applyFill="1" applyBorder="1" applyAlignment="1">
      <alignment horizontal="center" vertical="center"/>
    </xf>
    <xf numFmtId="49" fontId="19" fillId="6" borderId="16" xfId="24" applyNumberFormat="1" applyFont="1" applyFill="1" applyBorder="1" applyAlignment="1">
      <alignment horizontal="center" vertical="center"/>
    </xf>
    <xf numFmtId="0" fontId="19" fillId="0" borderId="16" xfId="24" applyFont="1" applyBorder="1" applyAlignment="1">
      <alignment horizontal="right"/>
    </xf>
    <xf numFmtId="165" fontId="19" fillId="24" borderId="16" xfId="24" applyNumberFormat="1" applyFont="1" applyFill="1" applyBorder="1" applyAlignment="1">
      <alignment horizontal="center" vertical="center"/>
    </xf>
    <xf numFmtId="0" fontId="47" fillId="6" borderId="14" xfId="2" applyFont="1" applyFill="1"/>
    <xf numFmtId="0" fontId="48" fillId="6" borderId="33" xfId="2" applyFont="1" applyFill="1" applyBorder="1" applyAlignment="1">
      <alignment horizontal="center" wrapText="1"/>
    </xf>
    <xf numFmtId="0" fontId="47" fillId="6" borderId="33" xfId="2" applyFont="1" applyFill="1" applyBorder="1" applyAlignment="1">
      <alignment horizontal="right"/>
    </xf>
    <xf numFmtId="0" fontId="47" fillId="6" borderId="17" xfId="2" applyFont="1" applyFill="1" applyBorder="1" applyAlignment="1">
      <alignment horizontal="center" wrapText="1"/>
    </xf>
    <xf numFmtId="0" fontId="47" fillId="6" borderId="17" xfId="2" applyFont="1" applyFill="1" applyBorder="1" applyAlignment="1">
      <alignment horizontal="center" vertical="center"/>
    </xf>
    <xf numFmtId="0" fontId="47" fillId="6" borderId="16" xfId="2" applyFont="1" applyFill="1" applyBorder="1" applyAlignment="1">
      <alignment horizontal="center" vertical="center" wrapText="1"/>
    </xf>
    <xf numFmtId="0" fontId="48" fillId="25" borderId="16" xfId="2" applyFont="1" applyFill="1" applyBorder="1" applyAlignment="1">
      <alignment horizontal="center" vertical="center" wrapText="1"/>
    </xf>
    <xf numFmtId="0" fontId="47" fillId="6" borderId="22" xfId="2" applyFont="1" applyFill="1" applyBorder="1" applyAlignment="1">
      <alignment horizontal="center" wrapText="1"/>
    </xf>
    <xf numFmtId="0" fontId="47" fillId="6" borderId="22" xfId="2" applyFont="1" applyFill="1" applyBorder="1" applyAlignment="1">
      <alignment horizontal="center" vertical="center"/>
    </xf>
    <xf numFmtId="1" fontId="47" fillId="6" borderId="18" xfId="2" applyNumberFormat="1" applyFont="1" applyFill="1" applyBorder="1" applyAlignment="1">
      <alignment horizontal="center" wrapText="1"/>
    </xf>
    <xf numFmtId="1" fontId="47" fillId="6" borderId="19" xfId="2" applyNumberFormat="1" applyFont="1" applyFill="1" applyBorder="1" applyAlignment="1">
      <alignment horizontal="center" wrapText="1"/>
    </xf>
    <xf numFmtId="1" fontId="47" fillId="6" borderId="20" xfId="2" applyNumberFormat="1" applyFont="1" applyFill="1" applyBorder="1" applyAlignment="1">
      <alignment horizontal="center" wrapText="1"/>
    </xf>
    <xf numFmtId="0" fontId="48" fillId="6" borderId="16" xfId="2" applyFont="1" applyFill="1" applyBorder="1" applyAlignment="1">
      <alignment horizontal="center" wrapText="1"/>
    </xf>
    <xf numFmtId="0" fontId="48" fillId="25" borderId="16" xfId="2" applyFont="1" applyFill="1" applyBorder="1" applyAlignment="1">
      <alignment horizontal="center" wrapText="1"/>
    </xf>
    <xf numFmtId="0" fontId="48" fillId="25" borderId="16" xfId="2" applyFont="1" applyFill="1" applyBorder="1" applyAlignment="1">
      <alignment horizontal="center" vertical="center"/>
    </xf>
    <xf numFmtId="165" fontId="48" fillId="25" borderId="16" xfId="2" applyNumberFormat="1" applyFont="1" applyFill="1" applyBorder="1" applyAlignment="1">
      <alignment horizontal="right" wrapText="1"/>
    </xf>
    <xf numFmtId="165" fontId="48" fillId="25" borderId="16" xfId="2" applyNumberFormat="1" applyFont="1" applyFill="1" applyBorder="1" applyAlignment="1">
      <alignment horizontal="right"/>
    </xf>
    <xf numFmtId="0" fontId="47" fillId="6" borderId="16" xfId="2" applyFont="1" applyFill="1" applyBorder="1" applyAlignment="1">
      <alignment horizontal="center" wrapText="1"/>
    </xf>
    <xf numFmtId="0" fontId="47" fillId="6" borderId="16" xfId="2" applyFont="1" applyFill="1" applyBorder="1" applyAlignment="1">
      <alignment wrapText="1"/>
    </xf>
    <xf numFmtId="0" fontId="47" fillId="6" borderId="16" xfId="2" applyFont="1" applyFill="1" applyBorder="1"/>
    <xf numFmtId="165" fontId="47" fillId="6" borderId="16" xfId="2" applyNumberFormat="1" applyFont="1" applyFill="1" applyBorder="1"/>
    <xf numFmtId="165" fontId="48" fillId="26" borderId="16" xfId="2" applyNumberFormat="1" applyFont="1" applyFill="1" applyBorder="1"/>
    <xf numFmtId="165" fontId="48" fillId="25" borderId="16" xfId="2" applyNumberFormat="1" applyFont="1" applyFill="1" applyBorder="1"/>
    <xf numFmtId="0" fontId="48" fillId="25" borderId="16" xfId="2" applyFont="1" applyFill="1" applyBorder="1"/>
    <xf numFmtId="0" fontId="18" fillId="0" borderId="14" xfId="25" applyFont="1"/>
    <xf numFmtId="0" fontId="47" fillId="25" borderId="16" xfId="2" applyFont="1" applyFill="1" applyBorder="1" applyAlignment="1">
      <alignment wrapText="1"/>
    </xf>
    <xf numFmtId="164" fontId="48" fillId="25" borderId="16" xfId="2" applyNumberFormat="1" applyFont="1" applyFill="1" applyBorder="1"/>
    <xf numFmtId="0" fontId="48" fillId="27" borderId="16" xfId="2" applyFont="1" applyFill="1" applyBorder="1"/>
    <xf numFmtId="0" fontId="48" fillId="25" borderId="16" xfId="2" applyFont="1" applyFill="1" applyBorder="1" applyAlignment="1">
      <alignment wrapText="1"/>
    </xf>
    <xf numFmtId="164" fontId="47" fillId="6" borderId="18" xfId="2" applyNumberFormat="1" applyFont="1" applyFill="1" applyBorder="1"/>
    <xf numFmtId="165" fontId="47" fillId="6" borderId="18" xfId="2" applyNumberFormat="1" applyFont="1" applyFill="1" applyBorder="1"/>
    <xf numFmtId="164" fontId="47" fillId="6" borderId="16" xfId="2" applyNumberFormat="1" applyFont="1" applyFill="1" applyBorder="1"/>
    <xf numFmtId="164" fontId="48" fillId="6" borderId="16" xfId="2" applyNumberFormat="1" applyFont="1" applyFill="1" applyBorder="1"/>
    <xf numFmtId="165" fontId="47" fillId="25" borderId="16" xfId="2" applyNumberFormat="1" applyFont="1" applyFill="1" applyBorder="1"/>
    <xf numFmtId="164" fontId="47" fillId="25" borderId="16" xfId="2" applyNumberFormat="1" applyFont="1" applyFill="1" applyBorder="1"/>
    <xf numFmtId="0" fontId="16" fillId="0" borderId="33" xfId="8" applyFont="1" applyBorder="1" applyAlignment="1">
      <alignment horizontal="center" vertical="center" wrapText="1" readingOrder="1"/>
    </xf>
    <xf numFmtId="0" fontId="50" fillId="2" borderId="3" xfId="5" applyFont="1" applyFill="1" applyBorder="1" applyAlignment="1">
      <alignment horizontal="center" wrapText="1"/>
    </xf>
    <xf numFmtId="0" fontId="49" fillId="2" borderId="3" xfId="5" applyFont="1" applyFill="1" applyBorder="1" applyAlignment="1">
      <alignment horizontal="center" wrapText="1"/>
    </xf>
    <xf numFmtId="0" fontId="50" fillId="2" borderId="6" xfId="5" applyFont="1" applyFill="1" applyBorder="1" applyAlignment="1">
      <alignment horizontal="center" wrapText="1"/>
    </xf>
    <xf numFmtId="0" fontId="50" fillId="2" borderId="9" xfId="5" applyFont="1" applyFill="1" applyBorder="1" applyAlignment="1">
      <alignment horizontal="center" wrapText="1"/>
    </xf>
    <xf numFmtId="49" fontId="50" fillId="4" borderId="4" xfId="5" applyNumberFormat="1" applyFont="1" applyFill="1" applyBorder="1" applyAlignment="1">
      <alignment horizontal="center" wrapText="1"/>
    </xf>
    <xf numFmtId="49" fontId="50" fillId="4" borderId="8" xfId="5" applyNumberFormat="1" applyFont="1" applyFill="1" applyBorder="1" applyAlignment="1">
      <alignment horizontal="center" wrapText="1"/>
    </xf>
    <xf numFmtId="0" fontId="49" fillId="4" borderId="8" xfId="5" applyFont="1" applyFill="1" applyBorder="1" applyAlignment="1">
      <alignment horizontal="left" vertical="top" wrapText="1"/>
    </xf>
    <xf numFmtId="164" fontId="49" fillId="4" borderId="8" xfId="5" applyNumberFormat="1" applyFont="1" applyFill="1" applyBorder="1" applyAlignment="1">
      <alignment horizontal="center" vertical="top" wrapText="1"/>
    </xf>
    <xf numFmtId="49" fontId="50" fillId="0" borderId="9" xfId="5" applyNumberFormat="1" applyFont="1" applyBorder="1" applyAlignment="1">
      <alignment horizontal="center" wrapText="1"/>
    </xf>
    <xf numFmtId="0" fontId="50" fillId="0" borderId="9" xfId="5" applyFont="1" applyBorder="1" applyAlignment="1">
      <alignment horizontal="left" vertical="top" wrapText="1"/>
    </xf>
    <xf numFmtId="164" fontId="50" fillId="0" borderId="9" xfId="5" applyNumberFormat="1" applyFont="1" applyBorder="1" applyAlignment="1">
      <alignment horizontal="center" vertical="top" wrapText="1"/>
    </xf>
    <xf numFmtId="49" fontId="50" fillId="3" borderId="9" xfId="5" applyNumberFormat="1" applyFont="1" applyFill="1" applyBorder="1" applyAlignment="1">
      <alignment horizontal="center" wrapText="1"/>
    </xf>
    <xf numFmtId="49" fontId="49" fillId="4" borderId="6" xfId="5" applyNumberFormat="1" applyFont="1" applyFill="1" applyBorder="1" applyAlignment="1">
      <alignment horizontal="center" wrapText="1"/>
    </xf>
    <xf numFmtId="49" fontId="50" fillId="4" borderId="9" xfId="5" applyNumberFormat="1" applyFont="1" applyFill="1" applyBorder="1" applyAlignment="1">
      <alignment horizontal="center" wrapText="1"/>
    </xf>
    <xf numFmtId="0" fontId="49" fillId="4" borderId="9" xfId="5" applyFont="1" applyFill="1" applyBorder="1" applyAlignment="1">
      <alignment horizontal="left" vertical="top" wrapText="1"/>
    </xf>
    <xf numFmtId="164" fontId="49" fillId="4" borderId="9" xfId="5" applyNumberFormat="1" applyFont="1" applyFill="1" applyBorder="1" applyAlignment="1">
      <alignment horizontal="center" vertical="top" wrapText="1"/>
    </xf>
    <xf numFmtId="0" fontId="16" fillId="4" borderId="9" xfId="5" applyFont="1" applyFill="1" applyBorder="1" applyAlignment="1">
      <alignment vertical="top" wrapText="1"/>
    </xf>
    <xf numFmtId="164" fontId="16" fillId="4" borderId="9" xfId="5" applyNumberFormat="1" applyFont="1" applyFill="1" applyBorder="1" applyAlignment="1">
      <alignment horizontal="center" vertical="top" wrapText="1"/>
    </xf>
    <xf numFmtId="0" fontId="18" fillId="0" borderId="9" xfId="5" applyFont="1" applyBorder="1" applyAlignment="1">
      <alignment vertical="top" wrapText="1"/>
    </xf>
    <xf numFmtId="164" fontId="18" fillId="0" borderId="9" xfId="5" applyNumberFormat="1" applyFont="1" applyBorder="1" applyAlignment="1">
      <alignment horizontal="center" vertical="top" wrapText="1"/>
    </xf>
    <xf numFmtId="0" fontId="18" fillId="0" borderId="9" xfId="5" applyFont="1" applyBorder="1" applyAlignment="1">
      <alignment wrapText="1"/>
    </xf>
    <xf numFmtId="0" fontId="50" fillId="3" borderId="9" xfId="5" applyFont="1" applyFill="1" applyBorder="1" applyAlignment="1">
      <alignment horizontal="left" vertical="top" wrapText="1"/>
    </xf>
    <xf numFmtId="164" fontId="50" fillId="0" borderId="9" xfId="5" applyNumberFormat="1" applyFont="1" applyFill="1" applyBorder="1" applyAlignment="1">
      <alignment horizontal="center" vertical="top" wrapText="1"/>
    </xf>
    <xf numFmtId="0" fontId="50" fillId="0" borderId="9" xfId="5" applyFont="1" applyBorder="1" applyAlignment="1">
      <alignment horizontal="center" wrapText="1"/>
    </xf>
    <xf numFmtId="0" fontId="50" fillId="0" borderId="9" xfId="5" applyFont="1" applyBorder="1" applyAlignment="1">
      <alignment horizontal="center" vertical="top" wrapText="1"/>
    </xf>
    <xf numFmtId="0" fontId="50" fillId="4" borderId="9" xfId="5" applyFont="1" applyFill="1" applyBorder="1" applyAlignment="1">
      <alignment horizontal="center" wrapText="1"/>
    </xf>
    <xf numFmtId="0" fontId="49" fillId="4" borderId="9" xfId="5" applyFont="1" applyFill="1" applyBorder="1" applyAlignment="1">
      <alignment horizontal="center" vertical="top" wrapText="1"/>
    </xf>
    <xf numFmtId="0" fontId="49" fillId="9" borderId="9" xfId="5" applyFont="1" applyFill="1" applyBorder="1" applyAlignment="1">
      <alignment horizontal="center" vertical="top" wrapText="1"/>
    </xf>
    <xf numFmtId="0" fontId="49" fillId="0" borderId="6" xfId="5" applyFont="1" applyBorder="1" applyAlignment="1">
      <alignment horizontal="left" vertical="top" wrapText="1"/>
    </xf>
    <xf numFmtId="0" fontId="49" fillId="0" borderId="9" xfId="5" applyFont="1" applyBorder="1" applyAlignment="1">
      <alignment horizontal="left" vertical="top" wrapText="1"/>
    </xf>
    <xf numFmtId="0" fontId="49" fillId="0" borderId="9" xfId="5" applyFont="1" applyBorder="1" applyAlignment="1">
      <alignment horizontal="center" vertical="top" wrapText="1"/>
    </xf>
    <xf numFmtId="0" fontId="49" fillId="0" borderId="9" xfId="5" applyFont="1" applyBorder="1" applyAlignment="1">
      <alignment horizontal="right" vertical="top" wrapText="1"/>
    </xf>
    <xf numFmtId="164" fontId="49" fillId="0" borderId="9" xfId="5" applyNumberFormat="1" applyFont="1" applyBorder="1" applyAlignment="1">
      <alignment horizontal="center" vertical="top" wrapText="1"/>
    </xf>
    <xf numFmtId="0" fontId="52" fillId="0" borderId="14" xfId="5" applyFont="1" applyAlignment="1">
      <alignment horizontal="left" vertical="top" wrapText="1"/>
    </xf>
    <xf numFmtId="164" fontId="47" fillId="6" borderId="14" xfId="2" applyNumberFormat="1" applyFont="1" applyFill="1"/>
    <xf numFmtId="0" fontId="20" fillId="0" borderId="41" xfId="20" applyFont="1" applyFill="1" applyBorder="1" applyAlignment="1">
      <alignment vertical="center" wrapText="1"/>
    </xf>
    <xf numFmtId="0" fontId="20" fillId="0" borderId="41" xfId="20" applyFont="1" applyFill="1" applyBorder="1" applyAlignment="1">
      <alignment horizontal="center" vertical="center" wrapText="1"/>
    </xf>
    <xf numFmtId="166" fontId="19" fillId="0" borderId="16" xfId="20" applyNumberFormat="1" applyFont="1" applyFill="1" applyBorder="1" applyAlignment="1">
      <alignment horizontal="center" vertical="center"/>
    </xf>
    <xf numFmtId="0" fontId="18" fillId="0" borderId="14" xfId="5" applyFont="1" applyAlignment="1">
      <alignment wrapText="1"/>
    </xf>
    <xf numFmtId="0" fontId="17" fillId="0" borderId="14" xfId="5" applyFont="1" applyAlignment="1">
      <alignment wrapText="1"/>
    </xf>
    <xf numFmtId="0" fontId="17" fillId="0" borderId="14" xfId="5" applyFont="1" applyAlignment="1">
      <alignment horizontal="left" vertical="center" wrapText="1"/>
    </xf>
    <xf numFmtId="0" fontId="17" fillId="0" borderId="14" xfId="5" applyFont="1" applyAlignment="1">
      <alignment horizontal="center" vertical="center" wrapText="1"/>
    </xf>
    <xf numFmtId="0" fontId="17" fillId="0" borderId="14" xfId="5" applyFont="1" applyAlignment="1">
      <alignment horizontal="center" wrapText="1"/>
    </xf>
    <xf numFmtId="168" fontId="16" fillId="2" borderId="16" xfId="5" applyNumberFormat="1" applyFont="1" applyFill="1" applyBorder="1" applyAlignment="1">
      <alignment horizontal="center" vertical="center" wrapText="1"/>
    </xf>
    <xf numFmtId="0" fontId="16" fillId="2" borderId="5" xfId="5" applyFont="1" applyFill="1" applyBorder="1" applyAlignment="1">
      <alignment horizontal="right" vertical="center" wrapText="1"/>
    </xf>
    <xf numFmtId="0" fontId="18" fillId="2" borderId="13" xfId="5" applyFont="1" applyFill="1" applyBorder="1" applyAlignment="1">
      <alignment horizontal="left" vertical="center" wrapText="1"/>
    </xf>
    <xf numFmtId="0" fontId="18" fillId="2" borderId="8" xfId="5" applyFont="1" applyFill="1" applyBorder="1" applyAlignment="1">
      <alignment horizontal="left" vertical="center" wrapText="1"/>
    </xf>
    <xf numFmtId="0" fontId="18" fillId="2" borderId="12" xfId="5" applyFont="1" applyFill="1" applyBorder="1" applyAlignment="1">
      <alignment horizontal="left" vertical="center" wrapText="1"/>
    </xf>
    <xf numFmtId="0" fontId="18" fillId="2" borderId="16" xfId="5" applyFont="1" applyFill="1" applyBorder="1" applyAlignment="1">
      <alignment horizontal="left" vertical="center" wrapText="1"/>
    </xf>
    <xf numFmtId="0" fontId="18" fillId="2" borderId="5" xfId="5" applyFont="1" applyFill="1" applyBorder="1" applyAlignment="1">
      <alignment horizontal="left" vertical="center" wrapText="1"/>
    </xf>
    <xf numFmtId="0" fontId="19" fillId="0" borderId="14" xfId="5" applyFont="1" applyBorder="1" applyAlignment="1">
      <alignment horizontal="left" wrapText="1"/>
    </xf>
    <xf numFmtId="0" fontId="19" fillId="0" borderId="14" xfId="5" applyFont="1" applyAlignment="1">
      <alignment horizontal="left" wrapText="1"/>
    </xf>
    <xf numFmtId="0" fontId="19" fillId="0" borderId="14" xfId="5" applyFont="1" applyAlignment="1">
      <alignment horizontal="left" vertical="center" wrapText="1"/>
    </xf>
    <xf numFmtId="0" fontId="19" fillId="0" borderId="14" xfId="5" applyFont="1" applyAlignment="1">
      <alignment horizontal="center" vertical="center" wrapText="1"/>
    </xf>
    <xf numFmtId="0" fontId="19" fillId="0" borderId="14" xfId="5" applyFont="1" applyAlignment="1">
      <alignment horizontal="left"/>
    </xf>
    <xf numFmtId="0" fontId="17" fillId="0" borderId="14" xfId="5" applyFont="1" applyBorder="1" applyAlignment="1">
      <alignment wrapText="1"/>
    </xf>
    <xf numFmtId="0" fontId="43" fillId="0" borderId="14" xfId="5" applyFont="1" applyAlignment="1">
      <alignment horizontal="left" wrapText="1"/>
    </xf>
    <xf numFmtId="164" fontId="19" fillId="10" borderId="16" xfId="5" applyNumberFormat="1" applyFont="1" applyFill="1" applyBorder="1" applyAlignment="1">
      <alignment horizontal="center" vertical="center" wrapText="1"/>
    </xf>
    <xf numFmtId="0" fontId="16" fillId="10" borderId="16" xfId="5" applyFont="1" applyFill="1" applyBorder="1" applyAlignment="1">
      <alignment horizontal="right" vertical="center" wrapText="1"/>
    </xf>
    <xf numFmtId="0" fontId="16" fillId="10" borderId="13" xfId="5" applyFont="1" applyFill="1" applyBorder="1" applyAlignment="1">
      <alignment horizontal="right" vertical="center" wrapText="1"/>
    </xf>
    <xf numFmtId="0" fontId="16" fillId="10" borderId="4" xfId="5" applyFont="1" applyFill="1" applyBorder="1" applyAlignment="1">
      <alignment horizontal="left" vertical="center" wrapText="1"/>
    </xf>
    <xf numFmtId="0" fontId="16" fillId="10" borderId="4" xfId="5" applyFont="1" applyFill="1" applyBorder="1" applyAlignment="1">
      <alignment horizontal="center" vertical="center" wrapText="1"/>
    </xf>
    <xf numFmtId="0" fontId="16" fillId="10" borderId="4" xfId="5" applyFont="1" applyFill="1" applyBorder="1" applyAlignment="1">
      <alignment horizontal="right" vertical="center" wrapText="1"/>
    </xf>
    <xf numFmtId="49" fontId="17" fillId="10" borderId="4" xfId="5" applyNumberFormat="1" applyFont="1" applyFill="1" applyBorder="1" applyAlignment="1">
      <alignment horizontal="center" wrapText="1"/>
    </xf>
    <xf numFmtId="164" fontId="19" fillId="11" borderId="17" xfId="5" applyNumberFormat="1" applyFont="1" applyFill="1" applyBorder="1" applyAlignment="1">
      <alignment horizontal="center" vertical="center" wrapText="1"/>
    </xf>
    <xf numFmtId="0" fontId="16" fillId="11" borderId="11" xfId="5" applyFont="1" applyFill="1" applyBorder="1" applyAlignment="1">
      <alignment horizontal="right" vertical="center" wrapText="1"/>
    </xf>
    <xf numFmtId="0" fontId="16" fillId="11" borderId="4" xfId="5" applyFont="1" applyFill="1" applyBorder="1" applyAlignment="1">
      <alignment horizontal="right" vertical="center" wrapText="1"/>
    </xf>
    <xf numFmtId="0" fontId="16" fillId="11" borderId="4" xfId="5" applyFont="1" applyFill="1" applyBorder="1" applyAlignment="1">
      <alignment horizontal="left" vertical="center" wrapText="1"/>
    </xf>
    <xf numFmtId="0" fontId="16" fillId="11" borderId="4" xfId="5" applyFont="1" applyFill="1" applyBorder="1" applyAlignment="1">
      <alignment horizontal="center" vertical="center" wrapText="1"/>
    </xf>
    <xf numFmtId="0" fontId="18" fillId="11" borderId="4" xfId="5" applyFont="1" applyFill="1" applyBorder="1" applyAlignment="1">
      <alignment horizontal="center" vertical="center" wrapText="1"/>
    </xf>
    <xf numFmtId="49" fontId="18" fillId="10" borderId="4" xfId="5" applyNumberFormat="1" applyFont="1" applyFill="1" applyBorder="1" applyAlignment="1">
      <alignment horizontal="center" vertical="top" wrapText="1"/>
    </xf>
    <xf numFmtId="0" fontId="17" fillId="2" borderId="13" xfId="5" applyFont="1" applyFill="1" applyBorder="1" applyAlignment="1">
      <alignment wrapText="1"/>
    </xf>
    <xf numFmtId="0" fontId="17" fillId="2" borderId="8" xfId="5" applyFont="1" applyFill="1" applyBorder="1" applyAlignment="1">
      <alignment horizontal="left" vertical="center" wrapText="1"/>
    </xf>
    <xf numFmtId="0" fontId="16" fillId="2" borderId="4" xfId="5" applyFont="1" applyFill="1" applyBorder="1" applyAlignment="1">
      <alignment horizontal="center" vertical="center" wrapText="1"/>
    </xf>
    <xf numFmtId="164" fontId="16" fillId="0" borderId="16" xfId="5" applyNumberFormat="1" applyFont="1" applyBorder="1" applyAlignment="1">
      <alignment horizontal="center" vertical="center" wrapText="1"/>
    </xf>
    <xf numFmtId="0" fontId="16" fillId="0" borderId="5" xfId="5" applyFont="1" applyBorder="1" applyAlignment="1">
      <alignment horizontal="right" vertical="center" wrapText="1"/>
    </xf>
    <xf numFmtId="0" fontId="16" fillId="0" borderId="13" xfId="5" applyFont="1" applyBorder="1" applyAlignment="1">
      <alignment horizontal="right" vertical="center" wrapText="1"/>
    </xf>
    <xf numFmtId="49" fontId="16" fillId="0" borderId="4" xfId="5" applyNumberFormat="1" applyFont="1" applyBorder="1" applyAlignment="1">
      <alignment horizontal="right" vertical="center" wrapText="1"/>
    </xf>
    <xf numFmtId="49" fontId="18" fillId="0" borderId="4" xfId="5" applyNumberFormat="1" applyFont="1" applyBorder="1" applyAlignment="1">
      <alignment horizontal="center" vertical="center" wrapText="1"/>
    </xf>
    <xf numFmtId="164" fontId="18" fillId="17" borderId="16" xfId="5" applyNumberFormat="1" applyFont="1" applyFill="1" applyBorder="1" applyAlignment="1">
      <alignment horizontal="center" vertical="center" wrapText="1"/>
    </xf>
    <xf numFmtId="0" fontId="18" fillId="0" borderId="9" xfId="5" applyFont="1" applyBorder="1" applyAlignment="1">
      <alignment horizontal="center" vertical="center" wrapText="1"/>
    </xf>
    <xf numFmtId="0" fontId="18" fillId="0" borderId="6" xfId="5" applyFont="1" applyBorder="1" applyAlignment="1">
      <alignment horizontal="left" vertical="center" wrapText="1"/>
    </xf>
    <xf numFmtId="164" fontId="17" fillId="15" borderId="16" xfId="5" applyNumberFormat="1" applyFont="1" applyFill="1" applyBorder="1" applyAlignment="1">
      <alignment horizontal="center" vertical="center" wrapText="1"/>
    </xf>
    <xf numFmtId="164" fontId="17" fillId="13" borderId="16" xfId="5" applyNumberFormat="1" applyFont="1" applyFill="1" applyBorder="1" applyAlignment="1">
      <alignment horizontal="center" vertical="center" wrapText="1"/>
    </xf>
    <xf numFmtId="164" fontId="17" fillId="14" borderId="16" xfId="5" applyNumberFormat="1" applyFont="1" applyFill="1" applyBorder="1" applyAlignment="1">
      <alignment horizontal="center" vertical="center" wrapText="1"/>
    </xf>
    <xf numFmtId="164" fontId="17" fillId="18" borderId="16" xfId="5" applyNumberFormat="1" applyFont="1" applyFill="1" applyBorder="1" applyAlignment="1">
      <alignment horizontal="center" vertical="center" wrapText="1"/>
    </xf>
    <xf numFmtId="164" fontId="17" fillId="19" borderId="16" xfId="5" applyNumberFormat="1" applyFont="1" applyFill="1" applyBorder="1" applyAlignment="1">
      <alignment horizontal="center" vertical="center" wrapText="1"/>
    </xf>
    <xf numFmtId="164" fontId="18" fillId="13" borderId="16" xfId="5" applyNumberFormat="1" applyFont="1" applyFill="1" applyBorder="1" applyAlignment="1">
      <alignment horizontal="center" vertical="center" wrapText="1"/>
    </xf>
    <xf numFmtId="0" fontId="17" fillId="0" borderId="4" xfId="5" applyFont="1" applyBorder="1" applyAlignment="1">
      <alignment horizontal="center" vertical="center" wrapText="1"/>
    </xf>
    <xf numFmtId="0" fontId="17" fillId="12" borderId="4" xfId="5" applyFont="1" applyFill="1" applyBorder="1" applyAlignment="1">
      <alignment horizontal="left" vertical="center" wrapText="1"/>
    </xf>
    <xf numFmtId="164" fontId="17" fillId="29" borderId="16" xfId="5" applyNumberFormat="1" applyFont="1" applyFill="1" applyBorder="1" applyAlignment="1">
      <alignment horizontal="center" vertical="center" wrapText="1"/>
    </xf>
    <xf numFmtId="0" fontId="18" fillId="12" borderId="6" xfId="5" applyFont="1" applyFill="1" applyBorder="1" applyAlignment="1">
      <alignment horizontal="left" vertical="center" wrapText="1"/>
    </xf>
    <xf numFmtId="164" fontId="20" fillId="18" borderId="16" xfId="5" applyNumberFormat="1" applyFont="1" applyFill="1" applyBorder="1" applyAlignment="1">
      <alignment horizontal="center" vertical="center" wrapText="1"/>
    </xf>
    <xf numFmtId="164" fontId="17" fillId="17" borderId="16" xfId="5" applyNumberFormat="1" applyFont="1" applyFill="1" applyBorder="1" applyAlignment="1">
      <alignment horizontal="center" vertical="center" wrapText="1"/>
    </xf>
    <xf numFmtId="49" fontId="18" fillId="12" borderId="4" xfId="5" applyNumberFormat="1" applyFont="1" applyFill="1" applyBorder="1" applyAlignment="1">
      <alignment horizontal="left" vertical="center" wrapText="1"/>
    </xf>
    <xf numFmtId="164" fontId="20" fillId="15" borderId="16" xfId="5" applyNumberFormat="1" applyFont="1" applyFill="1" applyBorder="1" applyAlignment="1">
      <alignment horizontal="center" vertical="center" wrapText="1"/>
    </xf>
    <xf numFmtId="164" fontId="20" fillId="13" borderId="16" xfId="5" applyNumberFormat="1" applyFont="1" applyFill="1" applyBorder="1" applyAlignment="1">
      <alignment horizontal="center" vertical="center" wrapText="1"/>
    </xf>
    <xf numFmtId="0" fontId="17" fillId="0" borderId="6" xfId="5" applyFont="1" applyBorder="1" applyAlignment="1">
      <alignment horizontal="center" vertical="center" wrapText="1"/>
    </xf>
    <xf numFmtId="0" fontId="17" fillId="0" borderId="3" xfId="5" applyFont="1" applyBorder="1" applyAlignment="1">
      <alignment horizontal="center" vertical="center" wrapText="1"/>
    </xf>
    <xf numFmtId="0" fontId="40" fillId="0" borderId="16" xfId="5" applyFont="1" applyBorder="1" applyAlignment="1">
      <alignment horizontal="left" vertical="center" wrapText="1"/>
    </xf>
    <xf numFmtId="0" fontId="40" fillId="0" borderId="13" xfId="5" applyFont="1" applyBorder="1" applyAlignment="1">
      <alignment horizontal="left" vertical="center" wrapText="1"/>
    </xf>
    <xf numFmtId="0" fontId="40" fillId="0" borderId="4" xfId="5" applyFont="1" applyBorder="1" applyAlignment="1">
      <alignment horizontal="left" vertical="center" wrapText="1"/>
    </xf>
    <xf numFmtId="0" fontId="42" fillId="0" borderId="11" xfId="5" applyFont="1" applyBorder="1" applyAlignment="1">
      <alignment horizontal="center" vertical="center" wrapText="1"/>
    </xf>
    <xf numFmtId="49" fontId="18" fillId="11" borderId="4" xfId="5" applyNumberFormat="1" applyFont="1" applyFill="1" applyBorder="1" applyAlignment="1">
      <alignment horizontal="center" vertical="center" wrapText="1"/>
    </xf>
    <xf numFmtId="49" fontId="18" fillId="10" borderId="4" xfId="5" applyNumberFormat="1" applyFont="1" applyFill="1" applyBorder="1" applyAlignment="1">
      <alignment horizontal="center" vertical="center" wrapText="1"/>
    </xf>
    <xf numFmtId="0" fontId="40" fillId="2" borderId="4" xfId="5" applyFont="1" applyFill="1" applyBorder="1" applyAlignment="1">
      <alignment horizontal="center" vertical="center" wrapText="1"/>
    </xf>
    <xf numFmtId="49" fontId="18" fillId="0" borderId="14" xfId="5" applyNumberFormat="1" applyFont="1" applyAlignment="1">
      <alignment horizontal="left" vertical="center" wrapText="1"/>
    </xf>
    <xf numFmtId="49" fontId="18" fillId="0" borderId="4" xfId="5" applyNumberFormat="1" applyFont="1" applyBorder="1" applyAlignment="1">
      <alignment horizontal="left" vertical="center" wrapText="1"/>
    </xf>
    <xf numFmtId="164" fontId="17" fillId="20" borderId="16" xfId="5" applyNumberFormat="1" applyFont="1" applyFill="1" applyBorder="1" applyAlignment="1">
      <alignment horizontal="center" vertical="center" wrapText="1"/>
    </xf>
    <xf numFmtId="0" fontId="18" fillId="0" borderId="4" xfId="5" applyFont="1" applyBorder="1" applyAlignment="1">
      <alignment horizontal="center" vertical="center" wrapText="1"/>
    </xf>
    <xf numFmtId="164" fontId="18" fillId="15" borderId="16" xfId="5" applyNumberFormat="1" applyFont="1" applyFill="1" applyBorder="1" applyAlignment="1">
      <alignment horizontal="center" vertical="center" wrapText="1"/>
    </xf>
    <xf numFmtId="164" fontId="18" fillId="14" borderId="16" xfId="5" applyNumberFormat="1" applyFont="1" applyFill="1" applyBorder="1" applyAlignment="1">
      <alignment horizontal="center" vertical="center" wrapText="1"/>
    </xf>
    <xf numFmtId="0" fontId="40" fillId="0" borderId="4" xfId="5" applyFont="1" applyBorder="1" applyAlignment="1">
      <alignment horizontal="center" vertical="center" wrapText="1"/>
    </xf>
    <xf numFmtId="0" fontId="17" fillId="2" borderId="13" xfId="5" applyFont="1" applyFill="1" applyBorder="1" applyAlignment="1">
      <alignment horizontal="left" vertical="center" wrapText="1"/>
    </xf>
    <xf numFmtId="0" fontId="17" fillId="2" borderId="4" xfId="5" applyFont="1" applyFill="1" applyBorder="1" applyAlignment="1">
      <alignment horizontal="center" vertical="center" wrapText="1"/>
    </xf>
    <xf numFmtId="0" fontId="16" fillId="0" borderId="13" xfId="5" applyFont="1" applyBorder="1" applyAlignment="1">
      <alignment horizontal="left" vertical="center" wrapText="1"/>
    </xf>
    <xf numFmtId="0" fontId="16" fillId="0" borderId="4" xfId="5" applyFont="1" applyBorder="1" applyAlignment="1">
      <alignment horizontal="left" vertical="center" wrapText="1"/>
    </xf>
    <xf numFmtId="0" fontId="17" fillId="11" borderId="16" xfId="5" applyFont="1" applyFill="1" applyBorder="1" applyAlignment="1">
      <alignment horizontal="left" vertical="center" wrapText="1"/>
    </xf>
    <xf numFmtId="0" fontId="17" fillId="11" borderId="13" xfId="5" applyFont="1" applyFill="1" applyBorder="1" applyAlignment="1">
      <alignment horizontal="left" vertical="center" wrapText="1"/>
    </xf>
    <xf numFmtId="0" fontId="17" fillId="11" borderId="4" xfId="5" applyFont="1" applyFill="1" applyBorder="1" applyAlignment="1">
      <alignment horizontal="left" vertical="center" wrapText="1"/>
    </xf>
    <xf numFmtId="0" fontId="17" fillId="11" borderId="4" xfId="5" applyFont="1" applyFill="1" applyBorder="1" applyAlignment="1">
      <alignment horizontal="center" vertical="center" wrapText="1"/>
    </xf>
    <xf numFmtId="0" fontId="17" fillId="10" borderId="16" xfId="5" applyFont="1" applyFill="1" applyBorder="1" applyAlignment="1">
      <alignment horizontal="left" vertical="center" wrapText="1"/>
    </xf>
    <xf numFmtId="0" fontId="17" fillId="10" borderId="13" xfId="5" applyFont="1" applyFill="1" applyBorder="1" applyAlignment="1">
      <alignment horizontal="left" vertical="center" wrapText="1"/>
    </xf>
    <xf numFmtId="0" fontId="17" fillId="10" borderId="4" xfId="5" applyFont="1" applyFill="1" applyBorder="1" applyAlignment="1">
      <alignment horizontal="left" vertical="center" wrapText="1"/>
    </xf>
    <xf numFmtId="0" fontId="17" fillId="10" borderId="4" xfId="5" applyFont="1" applyFill="1" applyBorder="1" applyAlignment="1">
      <alignment horizontal="center" vertical="center" wrapText="1"/>
    </xf>
    <xf numFmtId="49" fontId="18" fillId="10" borderId="13" xfId="5" applyNumberFormat="1" applyFont="1" applyFill="1" applyBorder="1" applyAlignment="1">
      <alignment horizontal="center" vertical="center" wrapText="1"/>
    </xf>
    <xf numFmtId="0" fontId="18" fillId="2" borderId="13" xfId="5" applyFont="1" applyFill="1" applyBorder="1" applyAlignment="1">
      <alignment horizontal="center" vertical="center" wrapText="1"/>
    </xf>
    <xf numFmtId="0" fontId="18" fillId="2" borderId="4" xfId="5" applyFont="1" applyFill="1" applyBorder="1" applyAlignment="1">
      <alignment horizontal="center" vertical="center" wrapText="1"/>
    </xf>
    <xf numFmtId="0" fontId="16" fillId="2" borderId="16" xfId="5" applyFont="1" applyFill="1" applyBorder="1" applyAlignment="1">
      <alignment horizontal="center" vertical="center" wrapText="1"/>
    </xf>
    <xf numFmtId="0" fontId="18" fillId="2" borderId="4" xfId="5" applyFont="1" applyFill="1" applyBorder="1" applyAlignment="1">
      <alignment horizontal="center" vertical="center" textRotation="90" wrapText="1"/>
    </xf>
    <xf numFmtId="0" fontId="16" fillId="0" borderId="14" xfId="5" applyFont="1" applyBorder="1" applyAlignment="1">
      <alignment vertical="center" wrapText="1"/>
    </xf>
    <xf numFmtId="0" fontId="16" fillId="0" borderId="14" xfId="5" applyFont="1" applyBorder="1" applyAlignment="1">
      <alignment vertical="center"/>
    </xf>
    <xf numFmtId="0" fontId="16" fillId="0" borderId="14" xfId="5" applyFont="1" applyAlignment="1">
      <alignment horizontal="center" vertical="center" wrapText="1"/>
    </xf>
    <xf numFmtId="0" fontId="51" fillId="0" borderId="14" xfId="1" applyFont="1"/>
    <xf numFmtId="0" fontId="51" fillId="0" borderId="14" xfId="1" applyFont="1" applyAlignment="1">
      <alignment horizontal="center" vertical="center"/>
    </xf>
    <xf numFmtId="0" fontId="58" fillId="6" borderId="16" xfId="1" applyFont="1" applyFill="1" applyBorder="1" applyAlignment="1">
      <alignment horizontal="left" vertical="center" wrapText="1"/>
    </xf>
    <xf numFmtId="165" fontId="51" fillId="6" borderId="16" xfId="1" applyNumberFormat="1" applyFont="1" applyFill="1" applyBorder="1" applyAlignment="1">
      <alignment horizontal="center" vertical="center"/>
    </xf>
    <xf numFmtId="165" fontId="51" fillId="7" borderId="16" xfId="2" applyNumberFormat="1" applyFont="1" applyFill="1" applyBorder="1" applyAlignment="1">
      <alignment horizontal="center" vertical="center"/>
    </xf>
    <xf numFmtId="0" fontId="58" fillId="0" borderId="16" xfId="1" applyFont="1" applyBorder="1" applyAlignment="1">
      <alignment horizontal="left" vertical="center" wrapText="1"/>
    </xf>
    <xf numFmtId="165" fontId="51" fillId="5" borderId="16" xfId="2" applyNumberFormat="1" applyFont="1" applyFill="1" applyBorder="1" applyAlignment="1">
      <alignment horizontal="center" vertical="center"/>
    </xf>
    <xf numFmtId="0" fontId="51" fillId="6" borderId="16" xfId="1" applyFont="1" applyFill="1" applyBorder="1" applyAlignment="1">
      <alignment horizontal="left" vertical="center" wrapText="1"/>
    </xf>
    <xf numFmtId="0" fontId="51" fillId="0" borderId="16" xfId="1" applyFont="1" applyBorder="1" applyAlignment="1">
      <alignment horizontal="left" vertical="center" wrapText="1"/>
    </xf>
    <xf numFmtId="0" fontId="51" fillId="5" borderId="16" xfId="2" applyFont="1" applyFill="1" applyBorder="1" applyAlignment="1">
      <alignment horizontal="center" vertical="center"/>
    </xf>
    <xf numFmtId="0" fontId="51" fillId="0" borderId="16" xfId="1" applyFont="1" applyBorder="1"/>
    <xf numFmtId="165" fontId="51" fillId="6" borderId="14" xfId="1" applyNumberFormat="1" applyFont="1" applyFill="1"/>
    <xf numFmtId="0" fontId="51" fillId="6" borderId="14" xfId="1" applyFont="1" applyFill="1"/>
    <xf numFmtId="0" fontId="51" fillId="6" borderId="16" xfId="1" applyFont="1" applyFill="1" applyBorder="1"/>
    <xf numFmtId="0" fontId="51" fillId="0" borderId="14" xfId="1" applyFont="1" applyAlignment="1">
      <alignment horizontal="left" wrapText="1"/>
    </xf>
    <xf numFmtId="0" fontId="51" fillId="0" borderId="14" xfId="1" applyFont="1" applyAlignment="1">
      <alignment horizontal="center" wrapText="1"/>
    </xf>
    <xf numFmtId="0" fontId="53" fillId="0" borderId="16" xfId="1" applyFont="1" applyBorder="1"/>
    <xf numFmtId="165" fontId="53" fillId="6" borderId="14" xfId="1" applyNumberFormat="1" applyFont="1" applyFill="1"/>
    <xf numFmtId="0" fontId="51" fillId="0" borderId="16" xfId="1" applyFont="1" applyBorder="1" applyAlignment="1">
      <alignment horizontal="left" wrapText="1"/>
    </xf>
    <xf numFmtId="0" fontId="53" fillId="0" borderId="16" xfId="1" applyFont="1" applyBorder="1" applyAlignment="1">
      <alignment horizontal="left" vertical="center"/>
    </xf>
    <xf numFmtId="165" fontId="53" fillId="6" borderId="16" xfId="1" applyNumberFormat="1" applyFont="1" applyFill="1" applyBorder="1" applyAlignment="1">
      <alignment horizontal="center" vertical="center"/>
    </xf>
    <xf numFmtId="165" fontId="51" fillId="0" borderId="14" xfId="1" applyNumberFormat="1" applyFont="1"/>
    <xf numFmtId="0" fontId="51" fillId="0" borderId="14" xfId="1" applyFont="1" applyBorder="1" applyAlignment="1">
      <alignment horizontal="left" vertical="center"/>
    </xf>
    <xf numFmtId="0" fontId="51" fillId="0" borderId="14" xfId="1" applyFont="1" applyAlignment="1">
      <alignment horizontal="left"/>
    </xf>
    <xf numFmtId="0" fontId="59" fillId="5" borderId="16" xfId="2" applyFont="1" applyFill="1" applyBorder="1" applyAlignment="1">
      <alignment horizontal="center" vertical="center"/>
    </xf>
    <xf numFmtId="165" fontId="53" fillId="7" borderId="16" xfId="2" applyNumberFormat="1" applyFont="1" applyFill="1" applyBorder="1" applyAlignment="1">
      <alignment horizontal="center" vertical="center"/>
    </xf>
    <xf numFmtId="0" fontId="51" fillId="0" borderId="14" xfId="1" applyFont="1" applyAlignment="1">
      <alignment horizontal="left" vertical="center"/>
    </xf>
    <xf numFmtId="0" fontId="51" fillId="6" borderId="16" xfId="1" applyFont="1" applyFill="1" applyBorder="1" applyAlignment="1">
      <alignment wrapText="1"/>
    </xf>
    <xf numFmtId="165" fontId="60" fillId="6" borderId="16" xfId="2" applyNumberFormat="1" applyFont="1" applyFill="1" applyBorder="1" applyAlignment="1">
      <alignment horizontal="center" vertical="center"/>
    </xf>
    <xf numFmtId="0" fontId="53" fillId="6" borderId="16" xfId="1" applyFont="1" applyFill="1" applyBorder="1" applyAlignment="1">
      <alignment horizontal="left" vertical="center" wrapText="1"/>
    </xf>
    <xf numFmtId="165" fontId="53" fillId="6" borderId="16" xfId="2" applyNumberFormat="1" applyFont="1" applyFill="1" applyBorder="1" applyAlignment="1">
      <alignment horizontal="center" vertical="center"/>
    </xf>
    <xf numFmtId="0" fontId="61" fillId="0" borderId="16" xfId="1" applyFont="1" applyBorder="1" applyAlignment="1">
      <alignment horizontal="left" vertical="center" wrapText="1"/>
    </xf>
    <xf numFmtId="165" fontId="51" fillId="8" borderId="16" xfId="2" applyNumberFormat="1" applyFont="1" applyFill="1" applyBorder="1" applyAlignment="1">
      <alignment horizontal="center" vertical="center"/>
    </xf>
    <xf numFmtId="0" fontId="28" fillId="0" borderId="14" xfId="17" applyFont="1" applyAlignment="1">
      <alignment vertical="center"/>
    </xf>
    <xf numFmtId="0" fontId="53" fillId="0" borderId="16" xfId="1" applyFont="1" applyBorder="1" applyAlignment="1">
      <alignment horizontal="left" vertical="center" wrapText="1"/>
    </xf>
    <xf numFmtId="0" fontId="51" fillId="6" borderId="14" xfId="1" applyFont="1" applyFill="1" applyAlignment="1">
      <alignment horizontal="center" vertical="center"/>
    </xf>
    <xf numFmtId="0" fontId="51" fillId="0" borderId="16" xfId="1" applyFont="1" applyBorder="1" applyAlignment="1">
      <alignment wrapText="1"/>
    </xf>
    <xf numFmtId="165" fontId="62" fillId="28" borderId="16" xfId="2" applyNumberFormat="1" applyFont="1" applyFill="1" applyBorder="1" applyAlignment="1">
      <alignment horizontal="center" vertical="center"/>
    </xf>
    <xf numFmtId="165" fontId="51" fillId="28" borderId="16" xfId="2" applyNumberFormat="1" applyFont="1" applyFill="1" applyBorder="1" applyAlignment="1">
      <alignment horizontal="center" vertical="center"/>
    </xf>
    <xf numFmtId="0" fontId="61" fillId="6" borderId="16" xfId="1" applyFont="1" applyFill="1" applyBorder="1" applyAlignment="1">
      <alignment horizontal="left" vertical="center"/>
    </xf>
    <xf numFmtId="165" fontId="62" fillId="25" borderId="16" xfId="2" applyNumberFormat="1" applyFont="1" applyFill="1" applyBorder="1" applyAlignment="1">
      <alignment horizontal="center" vertical="center"/>
    </xf>
    <xf numFmtId="0" fontId="53" fillId="6" borderId="16" xfId="1" applyFont="1" applyFill="1" applyBorder="1" applyAlignment="1">
      <alignment horizontal="left" vertical="center"/>
    </xf>
    <xf numFmtId="0" fontId="62" fillId="0" borderId="16" xfId="1" applyFont="1" applyBorder="1"/>
    <xf numFmtId="165" fontId="46" fillId="0" borderId="16" xfId="1" applyNumberFormat="1" applyFont="1" applyBorder="1" applyAlignment="1">
      <alignment horizontal="center" vertical="center"/>
    </xf>
    <xf numFmtId="0" fontId="61" fillId="6" borderId="14" xfId="28" applyFont="1" applyFill="1" applyAlignment="1">
      <alignment wrapText="1"/>
    </xf>
    <xf numFmtId="0" fontId="61" fillId="6" borderId="16" xfId="28" applyFont="1" applyFill="1" applyBorder="1" applyAlignment="1">
      <alignment horizontal="center" vertical="justify" textRotation="90" wrapText="1"/>
    </xf>
    <xf numFmtId="0" fontId="61" fillId="6" borderId="16" xfId="28" applyFont="1" applyFill="1" applyBorder="1" applyAlignment="1">
      <alignment horizontal="left" vertical="justify" textRotation="90" wrapText="1"/>
    </xf>
    <xf numFmtId="0" fontId="61" fillId="6" borderId="16" xfId="28" applyFont="1" applyFill="1" applyBorder="1" applyAlignment="1">
      <alignment horizontal="left" vertical="justify" wrapText="1"/>
    </xf>
    <xf numFmtId="0" fontId="63" fillId="6" borderId="16" xfId="28" applyFont="1" applyFill="1" applyBorder="1" applyAlignment="1">
      <alignment horizontal="left" vertical="justify" textRotation="90" wrapText="1"/>
    </xf>
    <xf numFmtId="0" fontId="61" fillId="6" borderId="16" xfId="28" applyFont="1" applyFill="1" applyBorder="1" applyAlignment="1">
      <alignment horizontal="left" vertical="justify" textRotation="90"/>
    </xf>
    <xf numFmtId="164" fontId="61" fillId="6" borderId="14" xfId="28" applyNumberFormat="1" applyFont="1" applyFill="1" applyAlignment="1">
      <alignment wrapText="1"/>
    </xf>
    <xf numFmtId="0" fontId="61" fillId="6" borderId="16" xfId="28" applyFont="1" applyFill="1" applyBorder="1" applyAlignment="1">
      <alignment textRotation="90" wrapText="1"/>
    </xf>
    <xf numFmtId="0" fontId="61" fillId="6" borderId="16" xfId="28" applyFont="1" applyFill="1" applyBorder="1" applyAlignment="1">
      <alignment vertical="top" wrapText="1"/>
    </xf>
    <xf numFmtId="0" fontId="61" fillId="6" borderId="16" xfId="28" applyFont="1" applyFill="1" applyBorder="1" applyAlignment="1">
      <alignment wrapText="1"/>
    </xf>
    <xf numFmtId="164" fontId="61" fillId="6" borderId="16" xfId="28" applyNumberFormat="1" applyFont="1" applyFill="1" applyBorder="1" applyAlignment="1">
      <alignment wrapText="1"/>
    </xf>
    <xf numFmtId="164" fontId="61" fillId="6" borderId="22" xfId="28" applyNumberFormat="1" applyFont="1" applyFill="1" applyBorder="1" applyAlignment="1">
      <alignment wrapText="1"/>
    </xf>
    <xf numFmtId="0" fontId="65" fillId="8" borderId="16" xfId="28" applyFont="1" applyFill="1" applyBorder="1" applyAlignment="1">
      <alignment vertical="top" wrapText="1"/>
    </xf>
    <xf numFmtId="164" fontId="65" fillId="8" borderId="22" xfId="28" applyNumberFormat="1" applyFont="1" applyFill="1" applyBorder="1" applyAlignment="1">
      <alignment wrapText="1"/>
    </xf>
    <xf numFmtId="164" fontId="65" fillId="8" borderId="16" xfId="28" applyNumberFormat="1" applyFont="1" applyFill="1" applyBorder="1" applyAlignment="1">
      <alignment wrapText="1"/>
    </xf>
    <xf numFmtId="164" fontId="58" fillId="6" borderId="16" xfId="28" applyNumberFormat="1" applyFont="1" applyFill="1" applyBorder="1" applyAlignment="1">
      <alignment wrapText="1"/>
    </xf>
    <xf numFmtId="0" fontId="51" fillId="0" borderId="14" xfId="1" applyFont="1" applyAlignment="1"/>
    <xf numFmtId="0" fontId="41" fillId="0" borderId="14" xfId="31" applyFont="1" applyAlignment="1">
      <alignment horizontal="center"/>
    </xf>
    <xf numFmtId="0" fontId="44" fillId="0" borderId="14" xfId="31" applyFont="1" applyAlignment="1">
      <alignment horizontal="center"/>
    </xf>
    <xf numFmtId="0" fontId="20" fillId="0" borderId="14" xfId="31" applyFont="1" applyAlignment="1">
      <alignment horizontal="center"/>
    </xf>
    <xf numFmtId="1" fontId="20" fillId="0" borderId="14" xfId="31" applyNumberFormat="1" applyFont="1" applyAlignment="1">
      <alignment horizontal="center"/>
    </xf>
    <xf numFmtId="0" fontId="44" fillId="0" borderId="14" xfId="31" applyFont="1" applyFill="1" applyAlignment="1">
      <alignment horizontal="center"/>
    </xf>
    <xf numFmtId="0" fontId="17" fillId="0" borderId="14" xfId="31" applyFont="1" applyFill="1"/>
    <xf numFmtId="0" fontId="17" fillId="0" borderId="14" xfId="31" applyFont="1" applyAlignment="1">
      <alignment horizontal="right"/>
    </xf>
    <xf numFmtId="0" fontId="2" fillId="0" borderId="14" xfId="31"/>
    <xf numFmtId="0" fontId="19" fillId="0" borderId="59" xfId="31" applyFont="1" applyBorder="1"/>
    <xf numFmtId="165" fontId="19" fillId="0" borderId="16" xfId="31" applyNumberFormat="1" applyFont="1" applyBorder="1" applyAlignment="1">
      <alignment horizontal="center"/>
    </xf>
    <xf numFmtId="165" fontId="17" fillId="0" borderId="16" xfId="31" applyNumberFormat="1" applyFont="1" applyBorder="1" applyAlignment="1">
      <alignment horizontal="center"/>
    </xf>
    <xf numFmtId="0" fontId="17" fillId="0" borderId="16" xfId="31" applyFont="1" applyBorder="1" applyAlignment="1">
      <alignment horizontal="center"/>
    </xf>
    <xf numFmtId="1" fontId="17" fillId="30" borderId="16" xfId="31" applyNumberFormat="1" applyFont="1" applyFill="1" applyBorder="1" applyAlignment="1">
      <alignment horizontal="center"/>
    </xf>
    <xf numFmtId="165" fontId="17" fillId="0" borderId="16" xfId="31" applyNumberFormat="1" applyFont="1" applyFill="1" applyBorder="1" applyAlignment="1">
      <alignment horizontal="center"/>
    </xf>
    <xf numFmtId="0" fontId="17" fillId="0" borderId="16" xfId="31" applyFont="1" applyBorder="1" applyAlignment="1">
      <alignment horizontal="left"/>
    </xf>
    <xf numFmtId="0" fontId="17" fillId="0" borderId="16" xfId="31" applyFont="1" applyFill="1" applyBorder="1"/>
    <xf numFmtId="0" fontId="17" fillId="0" borderId="60" xfId="31" applyFont="1" applyBorder="1"/>
    <xf numFmtId="0" fontId="17" fillId="30" borderId="16" xfId="31" applyFont="1" applyFill="1" applyBorder="1" applyAlignment="1">
      <alignment horizontal="center"/>
    </xf>
    <xf numFmtId="0" fontId="17" fillId="0" borderId="16" xfId="31" applyFont="1" applyFill="1" applyBorder="1" applyAlignment="1">
      <alignment horizontal="center"/>
    </xf>
    <xf numFmtId="0" fontId="17" fillId="0" borderId="16" xfId="31" applyFont="1" applyBorder="1"/>
    <xf numFmtId="0" fontId="19" fillId="0" borderId="62" xfId="31" applyFont="1" applyBorder="1" applyAlignment="1">
      <alignment wrapText="1"/>
    </xf>
    <xf numFmtId="165" fontId="19" fillId="0" borderId="17" xfId="31" applyNumberFormat="1" applyFont="1" applyBorder="1" applyAlignment="1">
      <alignment horizontal="center"/>
    </xf>
    <xf numFmtId="165" fontId="17" fillId="0" borderId="17" xfId="31" applyNumberFormat="1" applyFont="1" applyBorder="1" applyAlignment="1">
      <alignment horizontal="center"/>
    </xf>
    <xf numFmtId="165" fontId="17" fillId="30" borderId="17" xfId="31" applyNumberFormat="1" applyFont="1" applyFill="1" applyBorder="1" applyAlignment="1">
      <alignment horizontal="center"/>
    </xf>
    <xf numFmtId="0" fontId="17" fillId="0" borderId="17" xfId="31" applyFont="1" applyFill="1" applyBorder="1" applyAlignment="1">
      <alignment horizontal="center"/>
    </xf>
    <xf numFmtId="0" fontId="17" fillId="0" borderId="17" xfId="31" applyFont="1" applyBorder="1" applyAlignment="1">
      <alignment wrapText="1"/>
    </xf>
    <xf numFmtId="0" fontId="17" fillId="0" borderId="17" xfId="31" applyFont="1" applyFill="1" applyBorder="1"/>
    <xf numFmtId="0" fontId="17" fillId="0" borderId="63" xfId="31" applyFont="1" applyBorder="1"/>
    <xf numFmtId="0" fontId="19" fillId="0" borderId="64" xfId="31" applyFont="1" applyBorder="1" applyAlignment="1">
      <alignment wrapText="1"/>
    </xf>
    <xf numFmtId="0" fontId="19" fillId="0" borderId="54" xfId="31" applyFont="1" applyBorder="1" applyAlignment="1">
      <alignment horizontal="center"/>
    </xf>
    <xf numFmtId="0" fontId="17" fillId="0" borderId="54" xfId="31" applyFont="1" applyBorder="1" applyAlignment="1">
      <alignment horizontal="center"/>
    </xf>
    <xf numFmtId="1" fontId="17" fillId="30" borderId="54" xfId="31" applyNumberFormat="1" applyFont="1" applyFill="1" applyBorder="1" applyAlignment="1">
      <alignment horizontal="center"/>
    </xf>
    <xf numFmtId="0" fontId="17" fillId="0" borderId="54" xfId="31" applyFont="1" applyFill="1" applyBorder="1" applyAlignment="1">
      <alignment horizontal="center"/>
    </xf>
    <xf numFmtId="0" fontId="17" fillId="0" borderId="54" xfId="31" applyFont="1" applyBorder="1" applyAlignment="1">
      <alignment wrapText="1"/>
    </xf>
    <xf numFmtId="0" fontId="17" fillId="0" borderId="54" xfId="31" applyFont="1" applyFill="1" applyBorder="1"/>
    <xf numFmtId="0" fontId="17" fillId="0" borderId="55" xfId="31" applyFont="1" applyBorder="1"/>
    <xf numFmtId="165" fontId="25" fillId="0" borderId="16" xfId="32" applyNumberFormat="1" applyFont="1" applyBorder="1" applyAlignment="1">
      <alignment horizontal="center"/>
    </xf>
    <xf numFmtId="165" fontId="20" fillId="0" borderId="16" xfId="32" applyNumberFormat="1" applyFont="1" applyBorder="1" applyAlignment="1">
      <alignment horizontal="center"/>
    </xf>
    <xf numFmtId="165" fontId="20" fillId="6" borderId="16" xfId="32" applyNumberFormat="1" applyFont="1" applyFill="1" applyBorder="1" applyAlignment="1">
      <alignment horizontal="center"/>
    </xf>
    <xf numFmtId="165" fontId="20" fillId="30" borderId="16" xfId="32" applyNumberFormat="1" applyFont="1" applyFill="1" applyBorder="1" applyAlignment="1">
      <alignment horizontal="center"/>
    </xf>
    <xf numFmtId="1" fontId="25" fillId="30" borderId="16" xfId="32" applyNumberFormat="1" applyFont="1" applyFill="1" applyBorder="1" applyAlignment="1">
      <alignment horizontal="center"/>
    </xf>
    <xf numFmtId="165" fontId="17" fillId="0" borderId="17" xfId="31" applyNumberFormat="1" applyFont="1" applyFill="1" applyBorder="1" applyAlignment="1">
      <alignment horizontal="center"/>
    </xf>
    <xf numFmtId="0" fontId="17" fillId="0" borderId="17" xfId="31" applyFont="1" applyBorder="1"/>
    <xf numFmtId="0" fontId="17" fillId="0" borderId="63" xfId="31" applyFont="1" applyBorder="1" applyAlignment="1">
      <alignment wrapText="1"/>
    </xf>
    <xf numFmtId="165" fontId="25" fillId="0" borderId="17" xfId="32" applyNumberFormat="1" applyFont="1" applyBorder="1" applyAlignment="1">
      <alignment horizontal="center"/>
    </xf>
    <xf numFmtId="0" fontId="17" fillId="0" borderId="17" xfId="31" applyFont="1" applyBorder="1" applyAlignment="1">
      <alignment horizontal="center"/>
    </xf>
    <xf numFmtId="1" fontId="17" fillId="30" borderId="17" xfId="31" applyNumberFormat="1" applyFont="1" applyFill="1" applyBorder="1" applyAlignment="1">
      <alignment horizontal="center"/>
    </xf>
    <xf numFmtId="165" fontId="25" fillId="0" borderId="54" xfId="32" applyNumberFormat="1" applyFont="1" applyBorder="1" applyAlignment="1">
      <alignment horizontal="center"/>
    </xf>
    <xf numFmtId="0" fontId="19" fillId="0" borderId="59" xfId="31" applyFont="1" applyBorder="1" applyAlignment="1">
      <alignment wrapText="1"/>
    </xf>
    <xf numFmtId="165" fontId="17" fillId="30" borderId="16" xfId="31" applyNumberFormat="1" applyFont="1" applyFill="1" applyBorder="1" applyAlignment="1">
      <alignment horizontal="center"/>
    </xf>
    <xf numFmtId="0" fontId="19" fillId="0" borderId="16" xfId="31" applyFont="1" applyBorder="1" applyAlignment="1">
      <alignment horizontal="center"/>
    </xf>
    <xf numFmtId="165" fontId="17" fillId="0" borderId="54" xfId="31" applyNumberFormat="1" applyFont="1" applyFill="1" applyBorder="1" applyAlignment="1">
      <alignment horizontal="center"/>
    </xf>
    <xf numFmtId="0" fontId="17" fillId="0" borderId="54" xfId="31" applyFont="1" applyBorder="1"/>
    <xf numFmtId="165" fontId="17" fillId="0" borderId="54" xfId="31" applyNumberFormat="1" applyFont="1" applyBorder="1" applyAlignment="1">
      <alignment horizontal="center"/>
    </xf>
    <xf numFmtId="165" fontId="17" fillId="30" borderId="54" xfId="31" applyNumberFormat="1" applyFont="1" applyFill="1" applyBorder="1" applyAlignment="1">
      <alignment horizontal="center"/>
    </xf>
    <xf numFmtId="165" fontId="20" fillId="0" borderId="16" xfId="32" applyNumberFormat="1" applyFont="1" applyBorder="1" applyAlignment="1" applyProtection="1">
      <alignment horizontal="center"/>
      <protection locked="0"/>
    </xf>
    <xf numFmtId="1" fontId="25" fillId="30" borderId="16" xfId="32" applyNumberFormat="1" applyFont="1" applyFill="1" applyBorder="1" applyAlignment="1" applyProtection="1">
      <alignment horizontal="center"/>
      <protection locked="0"/>
    </xf>
    <xf numFmtId="165" fontId="17" fillId="6" borderId="54" xfId="31" applyNumberFormat="1" applyFont="1" applyFill="1" applyBorder="1" applyAlignment="1">
      <alignment horizontal="center"/>
    </xf>
    <xf numFmtId="165" fontId="20" fillId="30" borderId="16" xfId="32" applyNumberFormat="1" applyFont="1" applyFill="1" applyBorder="1" applyAlignment="1" applyProtection="1">
      <alignment horizontal="center"/>
      <protection locked="0"/>
    </xf>
    <xf numFmtId="0" fontId="17" fillId="0" borderId="21" xfId="31" applyFont="1" applyFill="1" applyBorder="1" applyAlignment="1">
      <alignment horizontal="center"/>
    </xf>
    <xf numFmtId="0" fontId="20" fillId="0" borderId="21" xfId="31" applyFont="1" applyBorder="1"/>
    <xf numFmtId="165" fontId="20" fillId="6" borderId="16" xfId="32" applyNumberFormat="1" applyFont="1" applyFill="1" applyBorder="1" applyAlignment="1" applyProtection="1">
      <alignment horizontal="center"/>
      <protection locked="0"/>
    </xf>
    <xf numFmtId="165" fontId="17" fillId="0" borderId="16" xfId="31" applyNumberFormat="1" applyFont="1" applyFill="1" applyBorder="1" applyAlignment="1">
      <alignment horizontal="center" wrapText="1"/>
    </xf>
    <xf numFmtId="0" fontId="44" fillId="0" borderId="54" xfId="31" applyFont="1" applyBorder="1"/>
    <xf numFmtId="0" fontId="44" fillId="0" borderId="54" xfId="31" applyFont="1" applyFill="1" applyBorder="1"/>
    <xf numFmtId="0" fontId="20" fillId="0" borderId="55" xfId="31" applyFont="1" applyBorder="1" applyAlignment="1">
      <alignment wrapText="1"/>
    </xf>
    <xf numFmtId="165" fontId="25" fillId="0" borderId="16" xfId="32" applyNumberFormat="1" applyFont="1" applyBorder="1" applyAlignment="1" applyProtection="1">
      <alignment horizontal="center"/>
      <protection locked="0"/>
    </xf>
    <xf numFmtId="165" fontId="20" fillId="0" borderId="16" xfId="31" applyNumberFormat="1" applyFont="1" applyBorder="1" applyAlignment="1">
      <alignment horizontal="center"/>
    </xf>
    <xf numFmtId="165" fontId="20" fillId="30" borderId="16" xfId="31" applyNumberFormat="1" applyFont="1" applyFill="1" applyBorder="1" applyAlignment="1">
      <alignment horizontal="center"/>
    </xf>
    <xf numFmtId="165" fontId="25" fillId="30" borderId="16" xfId="31" applyNumberFormat="1" applyFont="1" applyFill="1" applyBorder="1" applyAlignment="1">
      <alignment horizontal="center"/>
    </xf>
    <xf numFmtId="165" fontId="20" fillId="0" borderId="54" xfId="31" applyNumberFormat="1" applyFont="1" applyBorder="1" applyAlignment="1">
      <alignment horizontal="center"/>
    </xf>
    <xf numFmtId="165" fontId="25" fillId="0" borderId="54" xfId="32" applyNumberFormat="1" applyFont="1" applyBorder="1" applyAlignment="1" applyProtection="1">
      <alignment horizontal="center"/>
      <protection locked="0"/>
    </xf>
    <xf numFmtId="165" fontId="25" fillId="30" borderId="16" xfId="32" applyNumberFormat="1" applyFont="1" applyFill="1" applyBorder="1" applyAlignment="1" applyProtection="1">
      <alignment horizontal="center"/>
      <protection locked="0"/>
    </xf>
    <xf numFmtId="0" fontId="17" fillId="6" borderId="55" xfId="31" applyFont="1" applyFill="1" applyBorder="1"/>
    <xf numFmtId="165" fontId="17" fillId="6" borderId="16" xfId="31" applyNumberFormat="1" applyFont="1" applyFill="1" applyBorder="1" applyAlignment="1">
      <alignment horizontal="left"/>
    </xf>
    <xf numFmtId="165" fontId="17" fillId="0" borderId="16" xfId="31" applyNumberFormat="1" applyFont="1" applyFill="1" applyBorder="1"/>
    <xf numFmtId="0" fontId="17" fillId="0" borderId="60" xfId="31" applyFont="1" applyBorder="1" applyAlignment="1">
      <alignment wrapText="1"/>
    </xf>
    <xf numFmtId="0" fontId="19" fillId="0" borderId="28" xfId="31" applyFont="1" applyBorder="1" applyAlignment="1">
      <alignment wrapText="1"/>
    </xf>
    <xf numFmtId="165" fontId="17" fillId="0" borderId="44" xfId="31" applyNumberFormat="1" applyFont="1" applyBorder="1" applyAlignment="1">
      <alignment horizontal="center"/>
    </xf>
    <xf numFmtId="165" fontId="17" fillId="30" borderId="44" xfId="31" applyNumberFormat="1" applyFont="1" applyFill="1" applyBorder="1" applyAlignment="1">
      <alignment horizontal="center"/>
    </xf>
    <xf numFmtId="165" fontId="17" fillId="0" borderId="44" xfId="31" applyNumberFormat="1" applyFont="1" applyFill="1" applyBorder="1" applyAlignment="1">
      <alignment horizontal="center"/>
    </xf>
    <xf numFmtId="165" fontId="17" fillId="0" borderId="44" xfId="31" applyNumberFormat="1" applyFont="1" applyFill="1" applyBorder="1"/>
    <xf numFmtId="0" fontId="17" fillId="0" borderId="70" xfId="31" applyFont="1" applyBorder="1"/>
    <xf numFmtId="0" fontId="20" fillId="0" borderId="54" xfId="31" applyFont="1" applyFill="1" applyBorder="1"/>
    <xf numFmtId="0" fontId="44" fillId="0" borderId="16" xfId="31" applyFont="1" applyFill="1" applyBorder="1" applyAlignment="1">
      <alignment horizontal="center"/>
    </xf>
    <xf numFmtId="0" fontId="44" fillId="0" borderId="16" xfId="31" applyFont="1" applyBorder="1" applyAlignment="1">
      <alignment wrapText="1"/>
    </xf>
    <xf numFmtId="165" fontId="19" fillId="0" borderId="54" xfId="31" applyNumberFormat="1" applyFont="1" applyBorder="1" applyAlignment="1">
      <alignment horizontal="center"/>
    </xf>
    <xf numFmtId="0" fontId="20" fillId="0" borderId="54" xfId="31" applyFont="1" applyBorder="1" applyAlignment="1">
      <alignment wrapText="1"/>
    </xf>
    <xf numFmtId="0" fontId="17" fillId="30" borderId="54" xfId="31" applyFont="1" applyFill="1" applyBorder="1" applyAlignment="1">
      <alignment horizontal="center"/>
    </xf>
    <xf numFmtId="165" fontId="20" fillId="0" borderId="16" xfId="31" applyNumberFormat="1" applyFont="1" applyFill="1" applyBorder="1" applyAlignment="1">
      <alignment horizontal="center"/>
    </xf>
    <xf numFmtId="0" fontId="20" fillId="0" borderId="54" xfId="31" applyFont="1" applyFill="1" applyBorder="1" applyAlignment="1">
      <alignment horizontal="center"/>
    </xf>
    <xf numFmtId="0" fontId="2" fillId="6" borderId="14" xfId="31" applyFill="1"/>
    <xf numFmtId="0" fontId="17" fillId="0" borderId="16" xfId="31" applyFont="1" applyBorder="1" applyAlignment="1">
      <alignment wrapText="1"/>
    </xf>
    <xf numFmtId="0" fontId="17" fillId="0" borderId="44" xfId="31" applyFont="1" applyFill="1" applyBorder="1" applyAlignment="1">
      <alignment horizontal="center"/>
    </xf>
    <xf numFmtId="0" fontId="17" fillId="30" borderId="17" xfId="31" applyFont="1" applyFill="1" applyBorder="1" applyAlignment="1">
      <alignment horizontal="center"/>
    </xf>
    <xf numFmtId="0" fontId="17" fillId="0" borderId="44" xfId="31" applyFont="1" applyBorder="1" applyAlignment="1">
      <alignment horizontal="center"/>
    </xf>
    <xf numFmtId="0" fontId="17" fillId="0" borderId="44" xfId="31" applyFont="1" applyBorder="1"/>
    <xf numFmtId="0" fontId="17" fillId="0" borderId="44" xfId="31" applyFont="1" applyFill="1" applyBorder="1"/>
    <xf numFmtId="0" fontId="25" fillId="30" borderId="61" xfId="31" applyFont="1" applyFill="1" applyBorder="1"/>
    <xf numFmtId="165" fontId="20" fillId="30" borderId="52" xfId="31" applyNumberFormat="1" applyFont="1" applyFill="1" applyBorder="1" applyAlignment="1">
      <alignment horizontal="center"/>
    </xf>
    <xf numFmtId="0" fontId="25" fillId="30" borderId="64" xfId="31" applyFont="1" applyFill="1" applyBorder="1" applyAlignment="1">
      <alignment wrapText="1"/>
    </xf>
    <xf numFmtId="165" fontId="25" fillId="30" borderId="54" xfId="31" applyNumberFormat="1" applyFont="1" applyFill="1" applyBorder="1" applyAlignment="1">
      <alignment horizontal="center"/>
    </xf>
    <xf numFmtId="165" fontId="20" fillId="30" borderId="54" xfId="31" applyNumberFormat="1" applyFont="1" applyFill="1" applyBorder="1" applyAlignment="1">
      <alignment horizontal="center"/>
    </xf>
    <xf numFmtId="0" fontId="19" fillId="6" borderId="14" xfId="31" applyFont="1" applyFill="1" applyBorder="1" applyAlignment="1"/>
    <xf numFmtId="0" fontId="17" fillId="0" borderId="16" xfId="31" applyFont="1" applyBorder="1" applyAlignment="1"/>
    <xf numFmtId="0" fontId="25" fillId="30" borderId="65" xfId="31" applyFont="1" applyFill="1" applyBorder="1"/>
    <xf numFmtId="165" fontId="20" fillId="30" borderId="22" xfId="31" applyNumberFormat="1" applyFont="1" applyFill="1" applyBorder="1" applyAlignment="1">
      <alignment horizontal="center"/>
    </xf>
    <xf numFmtId="1" fontId="44" fillId="30" borderId="16" xfId="31" applyNumberFormat="1" applyFont="1" applyFill="1" applyBorder="1" applyAlignment="1">
      <alignment horizontal="center"/>
    </xf>
    <xf numFmtId="165" fontId="44" fillId="30" borderId="16" xfId="31" applyNumberFormat="1" applyFont="1" applyFill="1" applyBorder="1" applyAlignment="1"/>
    <xf numFmtId="165" fontId="44" fillId="30" borderId="60" xfId="31" applyNumberFormat="1" applyFont="1" applyFill="1" applyBorder="1" applyAlignment="1"/>
    <xf numFmtId="0" fontId="25" fillId="30" borderId="59" xfId="31" applyFont="1" applyFill="1" applyBorder="1"/>
    <xf numFmtId="0" fontId="19" fillId="28" borderId="77" xfId="31" applyFont="1" applyFill="1" applyBorder="1" applyAlignment="1">
      <alignment horizontal="center"/>
    </xf>
    <xf numFmtId="0" fontId="19" fillId="28" borderId="78" xfId="31" applyFont="1" applyFill="1" applyBorder="1" applyAlignment="1">
      <alignment horizontal="center"/>
    </xf>
    <xf numFmtId="0" fontId="17" fillId="28" borderId="78" xfId="31" applyFont="1" applyFill="1" applyBorder="1" applyAlignment="1">
      <alignment horizontal="center"/>
    </xf>
    <xf numFmtId="0" fontId="20" fillId="30" borderId="22" xfId="31" applyFont="1" applyFill="1" applyBorder="1" applyAlignment="1">
      <alignment horizontal="center"/>
    </xf>
    <xf numFmtId="0" fontId="17" fillId="30" borderId="22" xfId="31" applyFont="1" applyFill="1" applyBorder="1" applyAlignment="1">
      <alignment horizontal="center"/>
    </xf>
    <xf numFmtId="1" fontId="17" fillId="30" borderId="22" xfId="31" applyNumberFormat="1" applyFont="1" applyFill="1" applyBorder="1" applyAlignment="1">
      <alignment horizontal="center"/>
    </xf>
    <xf numFmtId="165" fontId="17" fillId="30" borderId="22" xfId="31" applyNumberFormat="1" applyFont="1" applyFill="1" applyBorder="1" applyAlignment="1">
      <alignment horizontal="center"/>
    </xf>
    <xf numFmtId="0" fontId="17" fillId="30" borderId="22" xfId="31" applyFont="1" applyFill="1" applyBorder="1" applyAlignment="1">
      <alignment horizontal="left"/>
    </xf>
    <xf numFmtId="0" fontId="17" fillId="30" borderId="22" xfId="31" applyFont="1" applyFill="1" applyBorder="1"/>
    <xf numFmtId="0" fontId="17" fillId="30" borderId="66" xfId="31" applyFont="1" applyFill="1" applyBorder="1"/>
    <xf numFmtId="0" fontId="25" fillId="30" borderId="16" xfId="31" applyFont="1" applyFill="1" applyBorder="1" applyAlignment="1">
      <alignment horizontal="center"/>
    </xf>
    <xf numFmtId="0" fontId="20" fillId="30" borderId="16" xfId="31" applyFont="1" applyFill="1" applyBorder="1" applyAlignment="1">
      <alignment horizontal="center"/>
    </xf>
    <xf numFmtId="0" fontId="17" fillId="30" borderId="16" xfId="31" applyFont="1" applyFill="1" applyBorder="1"/>
    <xf numFmtId="0" fontId="17" fillId="30" borderId="60" xfId="31" applyFont="1" applyFill="1" applyBorder="1"/>
    <xf numFmtId="0" fontId="20" fillId="30" borderId="54" xfId="31" applyFont="1" applyFill="1" applyBorder="1" applyAlignment="1">
      <alignment horizontal="center"/>
    </xf>
    <xf numFmtId="0" fontId="17" fillId="30" borderId="54" xfId="31" applyFont="1" applyFill="1" applyBorder="1"/>
    <xf numFmtId="0" fontId="17" fillId="30" borderId="55" xfId="31" applyFont="1" applyFill="1" applyBorder="1"/>
    <xf numFmtId="165" fontId="19" fillId="6" borderId="16" xfId="31" applyNumberFormat="1" applyFont="1" applyFill="1" applyBorder="1" applyAlignment="1">
      <alignment horizontal="center"/>
    </xf>
    <xf numFmtId="165" fontId="17" fillId="6" borderId="16" xfId="31" applyNumberFormat="1" applyFont="1" applyFill="1" applyBorder="1" applyAlignment="1">
      <alignment horizontal="center"/>
    </xf>
    <xf numFmtId="0" fontId="17" fillId="6" borderId="16" xfId="31" applyFont="1" applyFill="1" applyBorder="1" applyAlignment="1">
      <alignment horizontal="center"/>
    </xf>
    <xf numFmtId="1" fontId="17" fillId="0" borderId="16" xfId="31" applyNumberFormat="1" applyFont="1" applyBorder="1" applyAlignment="1">
      <alignment horizontal="center"/>
    </xf>
    <xf numFmtId="0" fontId="19" fillId="33" borderId="16" xfId="31" applyFont="1" applyFill="1" applyBorder="1" applyAlignment="1">
      <alignment horizontal="center"/>
    </xf>
    <xf numFmtId="0" fontId="17" fillId="33" borderId="16" xfId="31" applyFont="1" applyFill="1" applyBorder="1" applyAlignment="1">
      <alignment horizontal="center"/>
    </xf>
    <xf numFmtId="1" fontId="17" fillId="33" borderId="16" xfId="31" applyNumberFormat="1" applyFont="1" applyFill="1" applyBorder="1" applyAlignment="1">
      <alignment horizontal="center"/>
    </xf>
    <xf numFmtId="0" fontId="17" fillId="33" borderId="16" xfId="31" applyFont="1" applyFill="1" applyBorder="1"/>
    <xf numFmtId="0" fontId="17" fillId="33" borderId="60" xfId="31" applyFont="1" applyFill="1" applyBorder="1"/>
    <xf numFmtId="0" fontId="19" fillId="6" borderId="16" xfId="31" applyFont="1" applyFill="1" applyBorder="1" applyAlignment="1">
      <alignment horizontal="center"/>
    </xf>
    <xf numFmtId="0" fontId="19" fillId="33" borderId="54" xfId="31" applyFont="1" applyFill="1" applyBorder="1" applyAlignment="1">
      <alignment horizontal="center"/>
    </xf>
    <xf numFmtId="0" fontId="17" fillId="33" borderId="54" xfId="31" applyFont="1" applyFill="1" applyBorder="1" applyAlignment="1">
      <alignment horizontal="center"/>
    </xf>
    <xf numFmtId="1" fontId="17" fillId="33" borderId="54" xfId="31" applyNumberFormat="1" applyFont="1" applyFill="1" applyBorder="1" applyAlignment="1">
      <alignment horizontal="center"/>
    </xf>
    <xf numFmtId="0" fontId="17" fillId="33" borderId="54" xfId="31" applyFont="1" applyFill="1" applyBorder="1"/>
    <xf numFmtId="0" fontId="17" fillId="33" borderId="55" xfId="31" applyFont="1" applyFill="1" applyBorder="1"/>
    <xf numFmtId="0" fontId="17" fillId="0" borderId="80" xfId="31" applyFont="1" applyBorder="1"/>
    <xf numFmtId="0" fontId="17" fillId="0" borderId="79" xfId="31" applyFont="1" applyBorder="1"/>
    <xf numFmtId="165" fontId="20" fillId="0" borderId="16" xfId="31" applyNumberFormat="1" applyFont="1" applyBorder="1" applyAlignment="1" applyProtection="1">
      <alignment horizontal="center"/>
      <protection locked="0"/>
    </xf>
    <xf numFmtId="0" fontId="17" fillId="0" borderId="16" xfId="31" applyFont="1" applyBorder="1" applyAlignment="1">
      <alignment horizontal="left" wrapText="1"/>
    </xf>
    <xf numFmtId="2" fontId="19" fillId="0" borderId="16" xfId="31" applyNumberFormat="1" applyFont="1" applyBorder="1" applyAlignment="1">
      <alignment horizontal="center"/>
    </xf>
    <xf numFmtId="2" fontId="17" fillId="0" borderId="16" xfId="31" applyNumberFormat="1" applyFont="1" applyBorder="1" applyAlignment="1">
      <alignment horizontal="center"/>
    </xf>
    <xf numFmtId="0" fontId="20" fillId="0" borderId="54" xfId="31" applyFont="1" applyBorder="1"/>
    <xf numFmtId="164" fontId="20" fillId="30" borderId="22" xfId="31" applyNumberFormat="1" applyFont="1" applyFill="1" applyBorder="1" applyAlignment="1">
      <alignment horizontal="center"/>
    </xf>
    <xf numFmtId="164" fontId="44" fillId="30" borderId="22" xfId="31" applyNumberFormat="1" applyFont="1" applyFill="1" applyBorder="1" applyAlignment="1">
      <alignment horizontal="center"/>
    </xf>
    <xf numFmtId="165" fontId="44" fillId="30" borderId="22" xfId="31" applyNumberFormat="1" applyFont="1" applyFill="1" applyBorder="1" applyAlignment="1">
      <alignment horizontal="center"/>
    </xf>
    <xf numFmtId="0" fontId="44" fillId="30" borderId="22" xfId="31" applyFont="1" applyFill="1" applyBorder="1" applyAlignment="1">
      <alignment horizontal="left"/>
    </xf>
    <xf numFmtId="0" fontId="44" fillId="30" borderId="22" xfId="31" applyFont="1" applyFill="1" applyBorder="1"/>
    <xf numFmtId="0" fontId="44" fillId="30" borderId="66" xfId="31" applyFont="1" applyFill="1" applyBorder="1"/>
    <xf numFmtId="164" fontId="25" fillId="30" borderId="16" xfId="31" applyNumberFormat="1" applyFont="1" applyFill="1" applyBorder="1" applyAlignment="1">
      <alignment horizontal="center"/>
    </xf>
    <xf numFmtId="164" fontId="20" fillId="30" borderId="16" xfId="31" applyNumberFormat="1" applyFont="1" applyFill="1" applyBorder="1" applyAlignment="1">
      <alignment horizontal="center"/>
    </xf>
    <xf numFmtId="164" fontId="44" fillId="30" borderId="16" xfId="31" applyNumberFormat="1" applyFont="1" applyFill="1" applyBorder="1" applyAlignment="1">
      <alignment horizontal="center"/>
    </xf>
    <xf numFmtId="0" fontId="44" fillId="30" borderId="16" xfId="31" applyFont="1" applyFill="1" applyBorder="1" applyAlignment="1">
      <alignment horizontal="center"/>
    </xf>
    <xf numFmtId="0" fontId="44" fillId="30" borderId="16" xfId="31" applyFont="1" applyFill="1" applyBorder="1"/>
    <xf numFmtId="0" fontId="44" fillId="30" borderId="60" xfId="31" applyFont="1" applyFill="1" applyBorder="1"/>
    <xf numFmtId="164" fontId="20" fillId="30" borderId="54" xfId="31" applyNumberFormat="1" applyFont="1" applyFill="1" applyBorder="1" applyAlignment="1">
      <alignment horizontal="center"/>
    </xf>
    <xf numFmtId="0" fontId="44" fillId="30" borderId="54" xfId="31" applyFont="1" applyFill="1" applyBorder="1" applyAlignment="1">
      <alignment horizontal="center"/>
    </xf>
    <xf numFmtId="0" fontId="44" fillId="30" borderId="54" xfId="31" applyFont="1" applyFill="1" applyBorder="1"/>
    <xf numFmtId="0" fontId="44" fillId="30" borderId="55" xfId="31" applyFont="1" applyFill="1" applyBorder="1"/>
    <xf numFmtId="0" fontId="19" fillId="28" borderId="76" xfId="31" applyFont="1" applyFill="1" applyBorder="1" applyAlignment="1">
      <alignment horizontal="center"/>
    </xf>
    <xf numFmtId="0" fontId="19" fillId="0" borderId="17" xfId="31" applyFont="1" applyBorder="1" applyAlignment="1">
      <alignment horizontal="center"/>
    </xf>
    <xf numFmtId="165" fontId="25" fillId="30" borderId="22" xfId="31" applyNumberFormat="1" applyFont="1" applyFill="1" applyBorder="1" applyAlignment="1">
      <alignment horizontal="center"/>
    </xf>
    <xf numFmtId="1" fontId="44" fillId="30" borderId="22" xfId="31" applyNumberFormat="1" applyFont="1" applyFill="1" applyBorder="1" applyAlignment="1">
      <alignment horizontal="center"/>
    </xf>
    <xf numFmtId="1" fontId="20" fillId="30" borderId="16" xfId="31" applyNumberFormat="1" applyFont="1" applyFill="1" applyBorder="1" applyAlignment="1">
      <alignment horizontal="center"/>
    </xf>
    <xf numFmtId="2" fontId="20" fillId="30" borderId="54" xfId="31" applyNumberFormat="1" applyFont="1" applyFill="1" applyBorder="1" applyAlignment="1">
      <alignment horizontal="center"/>
    </xf>
    <xf numFmtId="0" fontId="19" fillId="28" borderId="19" xfId="31" applyFont="1" applyFill="1" applyBorder="1" applyAlignment="1">
      <alignment horizontal="center"/>
    </xf>
    <xf numFmtId="0" fontId="17" fillId="28" borderId="19" xfId="31" applyFont="1" applyFill="1" applyBorder="1" applyAlignment="1">
      <alignment horizontal="center"/>
    </xf>
    <xf numFmtId="165" fontId="20" fillId="6" borderId="16" xfId="31" applyNumberFormat="1" applyFont="1" applyFill="1" applyBorder="1" applyAlignment="1" applyProtection="1">
      <alignment horizontal="center"/>
      <protection locked="0"/>
    </xf>
    <xf numFmtId="165" fontId="20" fillId="30" borderId="16" xfId="31" applyNumberFormat="1" applyFont="1" applyFill="1" applyBorder="1" applyAlignment="1" applyProtection="1">
      <alignment horizontal="center"/>
      <protection locked="0"/>
    </xf>
    <xf numFmtId="165" fontId="20" fillId="0" borderId="54" xfId="31" applyNumberFormat="1" applyFont="1" applyFill="1" applyBorder="1" applyAlignment="1">
      <alignment horizontal="center"/>
    </xf>
    <xf numFmtId="165" fontId="17" fillId="0" borderId="19" xfId="31" applyNumberFormat="1" applyFont="1" applyFill="1" applyBorder="1" applyAlignment="1">
      <alignment horizontal="center"/>
    </xf>
    <xf numFmtId="165" fontId="17" fillId="0" borderId="78" xfId="31" applyNumberFormat="1" applyFont="1" applyFill="1" applyBorder="1" applyAlignment="1">
      <alignment horizontal="center"/>
    </xf>
    <xf numFmtId="0" fontId="20" fillId="6" borderId="16" xfId="31" applyFont="1" applyFill="1" applyBorder="1" applyAlignment="1">
      <alignment horizontal="center"/>
    </xf>
    <xf numFmtId="0" fontId="20" fillId="0" borderId="16" xfId="31" applyFont="1" applyBorder="1" applyAlignment="1">
      <alignment horizontal="center"/>
    </xf>
    <xf numFmtId="0" fontId="44" fillId="0" borderId="54" xfId="31" applyFont="1" applyBorder="1" applyAlignment="1">
      <alignment horizontal="center"/>
    </xf>
    <xf numFmtId="165" fontId="20" fillId="6" borderId="22" xfId="31" applyNumberFormat="1" applyFont="1" applyFill="1" applyBorder="1" applyAlignment="1" applyProtection="1">
      <alignment horizontal="center"/>
      <protection locked="0"/>
    </xf>
    <xf numFmtId="165" fontId="20" fillId="30" borderId="22" xfId="31" applyNumberFormat="1" applyFont="1" applyFill="1" applyBorder="1" applyAlignment="1" applyProtection="1">
      <alignment horizontal="center"/>
      <protection locked="0"/>
    </xf>
    <xf numFmtId="0" fontId="20" fillId="30" borderId="52" xfId="31" applyFont="1" applyFill="1" applyBorder="1" applyAlignment="1">
      <alignment horizontal="center"/>
    </xf>
    <xf numFmtId="1" fontId="20" fillId="30" borderId="52" xfId="31" applyNumberFormat="1" applyFont="1" applyFill="1" applyBorder="1" applyAlignment="1">
      <alignment horizontal="center"/>
    </xf>
    <xf numFmtId="165" fontId="44" fillId="30" borderId="52" xfId="31" applyNumberFormat="1" applyFont="1" applyFill="1" applyBorder="1" applyAlignment="1">
      <alignment horizontal="center"/>
    </xf>
    <xf numFmtId="0" fontId="44" fillId="30" borderId="52" xfId="31" applyFont="1" applyFill="1" applyBorder="1" applyAlignment="1">
      <alignment horizontal="left"/>
    </xf>
    <xf numFmtId="0" fontId="44" fillId="30" borderId="52" xfId="31" applyFont="1" applyFill="1" applyBorder="1"/>
    <xf numFmtId="0" fontId="44" fillId="30" borderId="53" xfId="31" applyFont="1" applyFill="1" applyBorder="1"/>
    <xf numFmtId="0" fontId="19" fillId="28" borderId="80" xfId="31" applyFont="1" applyFill="1" applyBorder="1" applyAlignment="1">
      <alignment horizontal="center"/>
    </xf>
    <xf numFmtId="165" fontId="20" fillId="6" borderId="16" xfId="31" applyNumberFormat="1" applyFont="1" applyFill="1" applyBorder="1" applyAlignment="1">
      <alignment horizontal="center"/>
    </xf>
    <xf numFmtId="0" fontId="20" fillId="6" borderId="16" xfId="31" applyFont="1" applyFill="1" applyBorder="1" applyAlignment="1">
      <alignment horizontal="left" vertical="center" wrapText="1"/>
    </xf>
    <xf numFmtId="0" fontId="20" fillId="6" borderId="16" xfId="31" applyFont="1" applyFill="1" applyBorder="1"/>
    <xf numFmtId="0" fontId="20" fillId="0" borderId="16" xfId="31" applyFont="1" applyBorder="1" applyAlignment="1">
      <alignment horizontal="left"/>
    </xf>
    <xf numFmtId="0" fontId="25" fillId="0" borderId="64" xfId="31" applyFont="1" applyBorder="1" applyAlignment="1">
      <alignment wrapText="1"/>
    </xf>
    <xf numFmtId="0" fontId="25" fillId="0" borderId="54" xfId="31" applyFont="1" applyBorder="1" applyAlignment="1">
      <alignment horizontal="center"/>
    </xf>
    <xf numFmtId="0" fontId="20" fillId="0" borderId="54" xfId="31" applyFont="1" applyBorder="1" applyAlignment="1">
      <alignment horizontal="center"/>
    </xf>
    <xf numFmtId="1" fontId="20" fillId="30" borderId="54" xfId="31" applyNumberFormat="1" applyFont="1" applyFill="1" applyBorder="1" applyAlignment="1">
      <alignment horizontal="center"/>
    </xf>
    <xf numFmtId="0" fontId="20" fillId="0" borderId="55" xfId="31" applyFont="1" applyBorder="1"/>
    <xf numFmtId="0" fontId="25" fillId="0" borderId="59" xfId="31" applyFont="1" applyBorder="1"/>
    <xf numFmtId="0" fontId="25" fillId="0" borderId="16" xfId="31" applyFont="1" applyBorder="1" applyAlignment="1">
      <alignment horizontal="center"/>
    </xf>
    <xf numFmtId="0" fontId="20" fillId="0" borderId="16" xfId="31" applyFont="1" applyBorder="1" applyAlignment="1">
      <alignment horizontal="left" wrapText="1"/>
    </xf>
    <xf numFmtId="0" fontId="20" fillId="0" borderId="16" xfId="31" applyFont="1" applyFill="1" applyBorder="1"/>
    <xf numFmtId="0" fontId="20" fillId="0" borderId="60" xfId="31" applyFont="1" applyBorder="1"/>
    <xf numFmtId="0" fontId="20" fillId="0" borderId="16" xfId="31" applyFont="1" applyFill="1" applyBorder="1" applyAlignment="1">
      <alignment horizontal="center"/>
    </xf>
    <xf numFmtId="0" fontId="25" fillId="0" borderId="59" xfId="31" applyFont="1" applyBorder="1" applyAlignment="1">
      <alignment wrapText="1"/>
    </xf>
    <xf numFmtId="0" fontId="20" fillId="0" borderId="16" xfId="31" applyFont="1" applyBorder="1"/>
    <xf numFmtId="0" fontId="20" fillId="0" borderId="16" xfId="31" applyFont="1" applyBorder="1" applyAlignment="1"/>
    <xf numFmtId="0" fontId="20" fillId="0" borderId="14" xfId="31" applyFont="1" applyBorder="1" applyAlignment="1">
      <alignment horizontal="left"/>
    </xf>
    <xf numFmtId="0" fontId="20" fillId="0" borderId="16" xfId="31" applyFont="1" applyBorder="1" applyAlignment="1">
      <alignment wrapText="1"/>
    </xf>
    <xf numFmtId="0" fontId="20" fillId="6" borderId="16" xfId="31" applyFont="1" applyFill="1" applyBorder="1" applyAlignment="1">
      <alignment horizontal="left"/>
    </xf>
    <xf numFmtId="0" fontId="25" fillId="0" borderId="16" xfId="31" applyFont="1" applyBorder="1" applyAlignment="1">
      <alignment wrapText="1"/>
    </xf>
    <xf numFmtId="0" fontId="25" fillId="0" borderId="54" xfId="31" applyFont="1" applyBorder="1" applyAlignment="1">
      <alignment wrapText="1"/>
    </xf>
    <xf numFmtId="0" fontId="20" fillId="0" borderId="54" xfId="31" applyFont="1" applyBorder="1" applyAlignment="1">
      <alignment horizontal="left" wrapText="1"/>
    </xf>
    <xf numFmtId="165" fontId="25" fillId="0" borderId="16" xfId="31" applyNumberFormat="1" applyFont="1" applyBorder="1" applyAlignment="1">
      <alignment horizontal="center"/>
    </xf>
    <xf numFmtId="0" fontId="20" fillId="0" borderId="54" xfId="31" applyFont="1" applyBorder="1" applyAlignment="1">
      <alignment horizontal="left"/>
    </xf>
    <xf numFmtId="165" fontId="17" fillId="0" borderId="54" xfId="31" applyNumberFormat="1" applyFont="1" applyFill="1" applyBorder="1"/>
    <xf numFmtId="0" fontId="20" fillId="6" borderId="16" xfId="31" applyFont="1" applyFill="1" applyBorder="1" applyAlignment="1">
      <alignment horizontal="left" wrapText="1"/>
    </xf>
    <xf numFmtId="0" fontId="17" fillId="6" borderId="54" xfId="31" applyFont="1" applyFill="1" applyBorder="1" applyAlignment="1">
      <alignment horizontal="center"/>
    </xf>
    <xf numFmtId="1" fontId="20" fillId="30" borderId="22" xfId="31" applyNumberFormat="1" applyFont="1" applyFill="1" applyBorder="1" applyAlignment="1">
      <alignment horizontal="center"/>
    </xf>
    <xf numFmtId="0" fontId="25" fillId="30" borderId="62" xfId="31" applyFont="1" applyFill="1" applyBorder="1" applyAlignment="1">
      <alignment wrapText="1"/>
    </xf>
    <xf numFmtId="165" fontId="20" fillId="30" borderId="17" xfId="31" applyNumberFormat="1" applyFont="1" applyFill="1" applyBorder="1" applyAlignment="1">
      <alignment horizontal="center"/>
    </xf>
    <xf numFmtId="0" fontId="20" fillId="30" borderId="17" xfId="31" applyFont="1" applyFill="1" applyBorder="1" applyAlignment="1">
      <alignment horizontal="center"/>
    </xf>
    <xf numFmtId="0" fontId="44" fillId="30" borderId="17" xfId="31" applyFont="1" applyFill="1" applyBorder="1"/>
    <xf numFmtId="0" fontId="44" fillId="30" borderId="63" xfId="31" applyFont="1" applyFill="1" applyBorder="1"/>
    <xf numFmtId="0" fontId="19" fillId="0" borderId="65" xfId="31" applyFont="1" applyBorder="1"/>
    <xf numFmtId="0" fontId="19" fillId="0" borderId="22" xfId="31" applyFont="1" applyBorder="1" applyAlignment="1">
      <alignment horizontal="center"/>
    </xf>
    <xf numFmtId="165" fontId="17" fillId="0" borderId="22" xfId="31" applyNumberFormat="1" applyFont="1" applyBorder="1" applyAlignment="1">
      <alignment horizontal="center"/>
    </xf>
    <xf numFmtId="165" fontId="17" fillId="0" borderId="22" xfId="31" applyNumberFormat="1" applyFont="1" applyFill="1" applyBorder="1" applyAlignment="1">
      <alignment horizontal="center"/>
    </xf>
    <xf numFmtId="0" fontId="17" fillId="0" borderId="22" xfId="31" applyFont="1" applyBorder="1" applyAlignment="1">
      <alignment horizontal="left"/>
    </xf>
    <xf numFmtId="0" fontId="17" fillId="0" borderId="22" xfId="31" applyFont="1" applyFill="1" applyBorder="1"/>
    <xf numFmtId="0" fontId="17" fillId="0" borderId="66" xfId="31" applyFont="1" applyBorder="1"/>
    <xf numFmtId="0" fontId="19" fillId="31" borderId="59" xfId="31" applyFont="1" applyFill="1" applyBorder="1" applyAlignment="1">
      <alignment wrapText="1"/>
    </xf>
    <xf numFmtId="164" fontId="19" fillId="31" borderId="16" xfId="31" applyNumberFormat="1" applyFont="1" applyFill="1" applyBorder="1" applyAlignment="1">
      <alignment horizontal="center"/>
    </xf>
    <xf numFmtId="165" fontId="17" fillId="31" borderId="16" xfId="31" applyNumberFormat="1" applyFont="1" applyFill="1" applyBorder="1" applyAlignment="1">
      <alignment horizontal="center"/>
    </xf>
    <xf numFmtId="164" fontId="17" fillId="31" borderId="16" xfId="31" applyNumberFormat="1" applyFont="1" applyFill="1" applyBorder="1" applyAlignment="1">
      <alignment horizontal="center"/>
    </xf>
    <xf numFmtId="0" fontId="17" fillId="31" borderId="16" xfId="31" applyFont="1" applyFill="1" applyBorder="1" applyAlignment="1">
      <alignment horizontal="center"/>
    </xf>
    <xf numFmtId="0" fontId="17" fillId="31" borderId="16" xfId="31" applyFont="1" applyFill="1" applyBorder="1"/>
    <xf numFmtId="0" fontId="17" fillId="31" borderId="60" xfId="31" applyFont="1" applyFill="1" applyBorder="1"/>
    <xf numFmtId="0" fontId="19" fillId="0" borderId="19" xfId="31" applyFont="1" applyBorder="1" applyAlignment="1"/>
    <xf numFmtId="0" fontId="19" fillId="0" borderId="80" xfId="31" applyFont="1" applyBorder="1" applyAlignment="1"/>
    <xf numFmtId="0" fontId="19" fillId="0" borderId="45" xfId="31" applyFont="1" applyBorder="1"/>
    <xf numFmtId="0" fontId="19" fillId="0" borderId="14" xfId="31" applyFont="1" applyBorder="1" applyAlignment="1">
      <alignment horizontal="center"/>
    </xf>
    <xf numFmtId="0" fontId="17" fillId="0" borderId="14" xfId="31" applyFont="1" applyBorder="1" applyAlignment="1">
      <alignment horizontal="center"/>
    </xf>
    <xf numFmtId="1" fontId="17" fillId="0" borderId="14" xfId="31" applyNumberFormat="1" applyFont="1" applyBorder="1" applyAlignment="1">
      <alignment horizontal="center"/>
    </xf>
    <xf numFmtId="0" fontId="17" fillId="0" borderId="14" xfId="31" applyFont="1" applyFill="1" applyBorder="1" applyAlignment="1">
      <alignment horizontal="center"/>
    </xf>
    <xf numFmtId="0" fontId="17" fillId="0" borderId="14" xfId="31" applyFont="1" applyBorder="1"/>
    <xf numFmtId="0" fontId="17" fillId="0" borderId="14" xfId="31" applyFont="1" applyFill="1" applyBorder="1"/>
    <xf numFmtId="0" fontId="17" fillId="0" borderId="81" xfId="31" applyFont="1" applyBorder="1"/>
    <xf numFmtId="0" fontId="19" fillId="0" borderId="14" xfId="31" applyFont="1" applyAlignment="1">
      <alignment horizontal="center"/>
    </xf>
    <xf numFmtId="0" fontId="17" fillId="0" borderId="14" xfId="31" applyFont="1" applyAlignment="1">
      <alignment horizontal="center"/>
    </xf>
    <xf numFmtId="1" fontId="17" fillId="0" borderId="14" xfId="31" applyNumberFormat="1" applyFont="1" applyAlignment="1">
      <alignment horizontal="center"/>
    </xf>
    <xf numFmtId="0" fontId="17" fillId="0" borderId="14" xfId="31" applyFont="1" applyFill="1" applyAlignment="1">
      <alignment horizontal="center"/>
    </xf>
    <xf numFmtId="0" fontId="17" fillId="0" borderId="14" xfId="31" applyFont="1"/>
    <xf numFmtId="164" fontId="68" fillId="0" borderId="14" xfId="31" applyNumberFormat="1" applyFont="1"/>
    <xf numFmtId="164" fontId="17" fillId="0" borderId="14" xfId="31" applyNumberFormat="1" applyFont="1" applyAlignment="1">
      <alignment horizontal="center"/>
    </xf>
    <xf numFmtId="2" fontId="17" fillId="0" borderId="14" xfId="31" applyNumberFormat="1" applyFont="1" applyAlignment="1">
      <alignment horizontal="center"/>
    </xf>
    <xf numFmtId="0" fontId="69" fillId="0" borderId="14" xfId="31" applyFont="1" applyAlignment="1">
      <alignment horizontal="center"/>
    </xf>
    <xf numFmtId="164" fontId="19" fillId="0" borderId="14" xfId="31" applyNumberFormat="1" applyFont="1" applyAlignment="1">
      <alignment horizontal="center"/>
    </xf>
    <xf numFmtId="2" fontId="17" fillId="0" borderId="14" xfId="31" applyNumberFormat="1" applyFont="1" applyFill="1" applyAlignment="1">
      <alignment horizontal="center"/>
    </xf>
    <xf numFmtId="0" fontId="19" fillId="0" borderId="14" xfId="31" applyFont="1"/>
    <xf numFmtId="164" fontId="25" fillId="0" borderId="16" xfId="5" applyNumberFormat="1" applyFont="1" applyBorder="1" applyAlignment="1">
      <alignment horizontal="center" vertical="center" wrapText="1"/>
    </xf>
    <xf numFmtId="164" fontId="25" fillId="6" borderId="16" xfId="5" applyNumberFormat="1" applyFont="1" applyFill="1" applyBorder="1" applyAlignment="1">
      <alignment horizontal="center" vertical="center" wrapText="1"/>
    </xf>
    <xf numFmtId="168" fontId="25" fillId="2" borderId="16" xfId="5" applyNumberFormat="1" applyFont="1" applyFill="1" applyBorder="1" applyAlignment="1">
      <alignment horizontal="center" vertical="center" wrapText="1"/>
    </xf>
    <xf numFmtId="0" fontId="25" fillId="0" borderId="14" xfId="5" applyFont="1" applyAlignment="1">
      <alignment horizontal="center" vertical="center" wrapText="1"/>
    </xf>
    <xf numFmtId="0" fontId="25" fillId="0" borderId="14" xfId="5" applyFont="1" applyBorder="1" applyAlignment="1">
      <alignment vertical="center" wrapText="1"/>
    </xf>
    <xf numFmtId="0" fontId="20" fillId="10" borderId="16" xfId="5" applyFont="1" applyFill="1" applyBorder="1" applyAlignment="1">
      <alignment horizontal="left" vertical="center" wrapText="1"/>
    </xf>
    <xf numFmtId="0" fontId="20" fillId="11" borderId="16" xfId="5" applyFont="1" applyFill="1" applyBorder="1" applyAlignment="1">
      <alignment horizontal="left" vertical="center" wrapText="1"/>
    </xf>
    <xf numFmtId="0" fontId="70" fillId="0" borderId="16" xfId="5" applyFont="1" applyBorder="1" applyAlignment="1">
      <alignment horizontal="left" vertical="center" wrapText="1"/>
    </xf>
    <xf numFmtId="164" fontId="20" fillId="16" borderId="16" xfId="5" applyNumberFormat="1" applyFont="1" applyFill="1" applyBorder="1" applyAlignment="1">
      <alignment horizontal="center" vertical="center" wrapText="1"/>
    </xf>
    <xf numFmtId="164" fontId="20" fillId="17" borderId="16" xfId="5" applyNumberFormat="1" applyFont="1" applyFill="1" applyBorder="1" applyAlignment="1">
      <alignment horizontal="center" vertical="center" wrapText="1"/>
    </xf>
    <xf numFmtId="164" fontId="25" fillId="0" borderId="16" xfId="5" applyNumberFormat="1" applyFont="1" applyBorder="1" applyAlignment="1">
      <alignment horizontal="center" wrapText="1"/>
    </xf>
    <xf numFmtId="164" fontId="25" fillId="11" borderId="17" xfId="5" applyNumberFormat="1" applyFont="1" applyFill="1" applyBorder="1" applyAlignment="1">
      <alignment horizontal="center" vertical="center" wrapText="1"/>
    </xf>
    <xf numFmtId="164" fontId="25" fillId="10" borderId="16" xfId="5" applyNumberFormat="1" applyFont="1" applyFill="1" applyBorder="1" applyAlignment="1">
      <alignment horizontal="center" vertical="center" wrapText="1"/>
    </xf>
    <xf numFmtId="0" fontId="20" fillId="0" borderId="14" xfId="5" applyFont="1" applyBorder="1" applyAlignment="1">
      <alignment wrapText="1"/>
    </xf>
    <xf numFmtId="0" fontId="25" fillId="0" borderId="14" xfId="5" applyFont="1" applyBorder="1" applyAlignment="1">
      <alignment horizontal="left" wrapText="1"/>
    </xf>
    <xf numFmtId="0" fontId="20" fillId="0" borderId="14" xfId="5" applyFont="1" applyAlignment="1">
      <alignment horizontal="center" wrapText="1"/>
    </xf>
    <xf numFmtId="0" fontId="20" fillId="0" borderId="14" xfId="5" applyFont="1" applyAlignment="1">
      <alignment wrapText="1"/>
    </xf>
    <xf numFmtId="0" fontId="25" fillId="2" borderId="16" xfId="5" applyFont="1" applyFill="1" applyBorder="1" applyAlignment="1">
      <alignment horizontal="center" vertical="center" wrapText="1"/>
    </xf>
    <xf numFmtId="0" fontId="18" fillId="35" borderId="16" xfId="5" applyFont="1" applyFill="1" applyBorder="1" applyAlignment="1">
      <alignment horizontal="center" vertical="center" wrapText="1"/>
    </xf>
    <xf numFmtId="0" fontId="20" fillId="35" borderId="16" xfId="5" applyFont="1" applyFill="1" applyBorder="1" applyAlignment="1">
      <alignment horizontal="center" vertical="center" wrapText="1"/>
    </xf>
    <xf numFmtId="0" fontId="16" fillId="22" borderId="27" xfId="20" applyFont="1" applyFill="1" applyBorder="1" applyAlignment="1" applyProtection="1">
      <alignment vertical="center" wrapText="1" readingOrder="1"/>
      <protection locked="0"/>
    </xf>
    <xf numFmtId="0" fontId="16" fillId="22" borderId="27" xfId="20" applyFont="1" applyFill="1" applyBorder="1" applyAlignment="1" applyProtection="1">
      <alignment horizontal="center" wrapText="1" readingOrder="1"/>
      <protection locked="0"/>
    </xf>
    <xf numFmtId="0" fontId="16" fillId="22" borderId="31" xfId="20" applyFont="1" applyFill="1" applyBorder="1" applyAlignment="1" applyProtection="1">
      <alignment vertical="center" wrapText="1" readingOrder="1"/>
      <protection locked="0"/>
    </xf>
    <xf numFmtId="0" fontId="16" fillId="22" borderId="27" xfId="20" applyFont="1" applyFill="1" applyBorder="1" applyAlignment="1" applyProtection="1">
      <alignment horizontal="center" vertical="center" wrapText="1" readingOrder="1"/>
      <protection locked="0"/>
    </xf>
    <xf numFmtId="0" fontId="51" fillId="27" borderId="16" xfId="1" applyFont="1" applyFill="1" applyBorder="1" applyAlignment="1">
      <alignment horizontal="center" vertical="center"/>
    </xf>
    <xf numFmtId="0" fontId="53" fillId="27" borderId="16" xfId="2" applyFont="1" applyFill="1" applyBorder="1" applyAlignment="1">
      <alignment horizontal="center" vertical="center" wrapText="1"/>
    </xf>
    <xf numFmtId="0" fontId="27" fillId="5" borderId="31" xfId="7" applyFont="1" applyFill="1" applyBorder="1" applyAlignment="1">
      <alignment horizontal="center" vertical="center"/>
    </xf>
    <xf numFmtId="0" fontId="27" fillId="27" borderId="61" xfId="7" applyFont="1" applyFill="1" applyBorder="1"/>
    <xf numFmtId="0" fontId="27" fillId="27" borderId="52" xfId="7" applyFont="1" applyFill="1" applyBorder="1" applyAlignment="1">
      <alignment horizontal="center"/>
    </xf>
    <xf numFmtId="0" fontId="27" fillId="0" borderId="59" xfId="7" applyFont="1" applyBorder="1" applyAlignment="1">
      <alignment horizontal="center" vertical="center"/>
    </xf>
    <xf numFmtId="0" fontId="27" fillId="0" borderId="54" xfId="7" applyFont="1" applyBorder="1" applyAlignment="1">
      <alignment horizontal="right"/>
    </xf>
    <xf numFmtId="0" fontId="27" fillId="27" borderId="40" xfId="7" applyFont="1" applyFill="1" applyBorder="1" applyAlignment="1">
      <alignment horizontal="center" vertical="center"/>
    </xf>
    <xf numFmtId="0" fontId="28" fillId="5" borderId="35" xfId="7" applyFont="1" applyFill="1" applyBorder="1" applyAlignment="1">
      <alignment horizontal="center" vertical="center"/>
    </xf>
    <xf numFmtId="0" fontId="28" fillId="5" borderId="41" xfId="7" applyFont="1" applyFill="1" applyBorder="1" applyAlignment="1">
      <alignment horizontal="center" vertical="center"/>
    </xf>
    <xf numFmtId="0" fontId="25" fillId="30" borderId="29" xfId="31" applyFont="1" applyFill="1" applyBorder="1"/>
    <xf numFmtId="2" fontId="25" fillId="30" borderId="50" xfId="31" applyNumberFormat="1" applyFont="1" applyFill="1" applyBorder="1" applyAlignment="1">
      <alignment horizontal="center"/>
    </xf>
    <xf numFmtId="165" fontId="20" fillId="30" borderId="50" xfId="31" applyNumberFormat="1" applyFont="1" applyFill="1" applyBorder="1" applyAlignment="1">
      <alignment horizontal="center"/>
    </xf>
    <xf numFmtId="2" fontId="20" fillId="30" borderId="50" xfId="31" applyNumberFormat="1" applyFont="1" applyFill="1" applyBorder="1" applyAlignment="1">
      <alignment horizontal="center"/>
    </xf>
    <xf numFmtId="2" fontId="41" fillId="30" borderId="50" xfId="31" applyNumberFormat="1" applyFont="1" applyFill="1" applyBorder="1" applyAlignment="1">
      <alignment horizontal="center"/>
    </xf>
    <xf numFmtId="165" fontId="44" fillId="30" borderId="50" xfId="31" applyNumberFormat="1" applyFont="1" applyFill="1" applyBorder="1" applyAlignment="1"/>
    <xf numFmtId="165" fontId="44" fillId="30" borderId="58" xfId="31" applyNumberFormat="1" applyFont="1" applyFill="1" applyBorder="1" applyAlignment="1"/>
    <xf numFmtId="0" fontId="25" fillId="30" borderId="23" xfId="31" applyFont="1" applyFill="1" applyBorder="1" applyAlignment="1">
      <alignment wrapText="1"/>
    </xf>
    <xf numFmtId="165" fontId="25" fillId="30" borderId="42" xfId="31" applyNumberFormat="1" applyFont="1" applyFill="1" applyBorder="1" applyAlignment="1">
      <alignment horizontal="center"/>
    </xf>
    <xf numFmtId="165" fontId="20" fillId="30" borderId="42" xfId="31" applyNumberFormat="1" applyFont="1" applyFill="1" applyBorder="1" applyAlignment="1">
      <alignment horizontal="center"/>
    </xf>
    <xf numFmtId="165" fontId="44" fillId="30" borderId="42" xfId="31" applyNumberFormat="1" applyFont="1" applyFill="1" applyBorder="1" applyAlignment="1"/>
    <xf numFmtId="165" fontId="44" fillId="30" borderId="82" xfId="31" applyNumberFormat="1" applyFont="1" applyFill="1" applyBorder="1" applyAlignment="1"/>
    <xf numFmtId="0" fontId="25" fillId="32" borderId="54" xfId="32" applyFont="1" applyFill="1" applyBorder="1" applyAlignment="1">
      <alignment horizontal="center" vertical="center" wrapText="1"/>
    </xf>
    <xf numFmtId="0" fontId="25" fillId="32" borderId="54" xfId="32" applyFont="1" applyFill="1" applyBorder="1" applyAlignment="1">
      <alignment vertical="center" wrapText="1"/>
    </xf>
    <xf numFmtId="1" fontId="25" fillId="32" borderId="54" xfId="32" applyNumberFormat="1" applyFont="1" applyFill="1" applyBorder="1" applyAlignment="1">
      <alignment vertical="center" wrapText="1"/>
    </xf>
    <xf numFmtId="0" fontId="53" fillId="28" borderId="18" xfId="1" applyFont="1" applyFill="1" applyBorder="1" applyAlignment="1">
      <alignment horizontal="center" vertical="center"/>
    </xf>
    <xf numFmtId="0" fontId="27" fillId="0" borderId="64" xfId="7" applyFont="1" applyBorder="1" applyAlignment="1">
      <alignment horizontal="center" vertical="center"/>
    </xf>
    <xf numFmtId="0" fontId="28" fillId="0" borderId="14" xfId="7" applyFont="1" applyBorder="1" applyAlignment="1">
      <alignment horizontal="right" wrapText="1"/>
    </xf>
    <xf numFmtId="164" fontId="19" fillId="0" borderId="19" xfId="31" applyNumberFormat="1" applyFont="1" applyBorder="1" applyAlignment="1"/>
    <xf numFmtId="2" fontId="19" fillId="0" borderId="76" xfId="31" applyNumberFormat="1" applyFont="1" applyBorder="1" applyAlignment="1"/>
    <xf numFmtId="165" fontId="19" fillId="28" borderId="78" xfId="31" applyNumberFormat="1" applyFont="1" applyFill="1" applyBorder="1" applyAlignment="1">
      <alignment horizontal="center"/>
    </xf>
    <xf numFmtId="164" fontId="19" fillId="28" borderId="76" xfId="31" applyNumberFormat="1" applyFont="1" applyFill="1" applyBorder="1" applyAlignment="1">
      <alignment horizontal="center"/>
    </xf>
    <xf numFmtId="165" fontId="19" fillId="28" borderId="76" xfId="31" applyNumberFormat="1" applyFont="1" applyFill="1" applyBorder="1" applyAlignment="1">
      <alignment horizontal="center"/>
    </xf>
    <xf numFmtId="165" fontId="19" fillId="28" borderId="19" xfId="31" applyNumberFormat="1" applyFont="1" applyFill="1" applyBorder="1" applyAlignment="1">
      <alignment horizontal="center"/>
    </xf>
    <xf numFmtId="165" fontId="17" fillId="28" borderId="19" xfId="31" applyNumberFormat="1" applyFont="1" applyFill="1" applyBorder="1" applyAlignment="1">
      <alignment horizontal="center"/>
    </xf>
    <xf numFmtId="0" fontId="47" fillId="6" borderId="14" xfId="2" applyFont="1" applyFill="1" applyAlignment="1"/>
    <xf numFmtId="0" fontId="47" fillId="6" borderId="16" xfId="2" applyFont="1" applyFill="1" applyBorder="1" applyAlignment="1">
      <alignment horizontal="center"/>
    </xf>
    <xf numFmtId="0" fontId="17" fillId="6" borderId="16" xfId="31" applyFont="1" applyFill="1" applyBorder="1"/>
    <xf numFmtId="0" fontId="17" fillId="6" borderId="60" xfId="31" applyFont="1" applyFill="1" applyBorder="1"/>
    <xf numFmtId="0" fontId="17" fillId="6" borderId="54" xfId="31" applyFont="1" applyFill="1" applyBorder="1"/>
    <xf numFmtId="0" fontId="17" fillId="6" borderId="55" xfId="31" applyFont="1" applyFill="1" applyBorder="1" applyAlignment="1">
      <alignment wrapText="1"/>
    </xf>
    <xf numFmtId="0" fontId="17" fillId="6" borderId="17" xfId="31" applyFont="1" applyFill="1" applyBorder="1"/>
    <xf numFmtId="165" fontId="17" fillId="6" borderId="44" xfId="31" applyNumberFormat="1" applyFont="1" applyFill="1" applyBorder="1" applyAlignment="1">
      <alignment horizontal="left" wrapText="1"/>
    </xf>
    <xf numFmtId="0" fontId="17" fillId="6" borderId="16" xfId="31" applyFont="1" applyFill="1" applyBorder="1" applyAlignment="1">
      <alignment wrapText="1"/>
    </xf>
    <xf numFmtId="165" fontId="17" fillId="0" borderId="18" xfId="31" applyNumberFormat="1" applyFont="1" applyFill="1" applyBorder="1" applyAlignment="1">
      <alignment horizontal="center"/>
    </xf>
    <xf numFmtId="0" fontId="18" fillId="0" borderId="14" xfId="5" applyFont="1" applyBorder="1" applyAlignment="1">
      <alignment horizontal="right" wrapText="1"/>
    </xf>
    <xf numFmtId="0" fontId="17" fillId="0" borderId="3" xfId="5" applyFont="1" applyBorder="1" applyAlignment="1">
      <alignment horizontal="center" vertical="center" wrapText="1"/>
    </xf>
    <xf numFmtId="0" fontId="20" fillId="0" borderId="43" xfId="5" applyFont="1" applyBorder="1" applyAlignment="1">
      <alignment wrapText="1"/>
    </xf>
    <xf numFmtId="0" fontId="20" fillId="0" borderId="6" xfId="5" applyFont="1" applyBorder="1" applyAlignment="1">
      <alignment wrapText="1"/>
    </xf>
    <xf numFmtId="49" fontId="18" fillId="0" borderId="3" xfId="5" applyNumberFormat="1" applyFont="1" applyBorder="1" applyAlignment="1">
      <alignment horizontal="center" vertical="center" wrapText="1"/>
    </xf>
    <xf numFmtId="0" fontId="18" fillId="0" borderId="3" xfId="5" applyFont="1" applyBorder="1" applyAlignment="1">
      <alignment horizontal="left" vertical="center" wrapText="1"/>
    </xf>
    <xf numFmtId="0" fontId="18" fillId="12" borderId="3" xfId="5" applyFont="1" applyFill="1" applyBorder="1" applyAlignment="1">
      <alignment horizontal="left" vertical="center" wrapText="1"/>
    </xf>
    <xf numFmtId="0" fontId="17" fillId="34" borderId="3" xfId="5" applyFont="1" applyFill="1" applyBorder="1" applyAlignment="1">
      <alignment horizontal="center" vertical="center" wrapText="1"/>
    </xf>
    <xf numFmtId="0" fontId="17" fillId="34" borderId="43" xfId="5" applyFont="1" applyFill="1" applyBorder="1" applyAlignment="1">
      <alignment horizontal="center" vertical="center" wrapText="1"/>
    </xf>
    <xf numFmtId="0" fontId="17" fillId="34" borderId="6" xfId="5" applyFont="1" applyFill="1" applyBorder="1" applyAlignment="1">
      <alignment horizontal="center" vertical="center" wrapText="1"/>
    </xf>
    <xf numFmtId="0" fontId="17" fillId="12" borderId="3" xfId="5" applyFont="1" applyFill="1" applyBorder="1" applyAlignment="1">
      <alignment horizontal="left" vertical="center" wrapText="1"/>
    </xf>
    <xf numFmtId="0" fontId="20" fillId="22" borderId="43" xfId="5" applyFont="1" applyFill="1" applyBorder="1" applyAlignment="1">
      <alignment wrapText="1"/>
    </xf>
    <xf numFmtId="0" fontId="20" fillId="22" borderId="6" xfId="5" applyFont="1" applyFill="1" applyBorder="1" applyAlignment="1">
      <alignment wrapText="1"/>
    </xf>
    <xf numFmtId="0" fontId="18" fillId="34" borderId="3" xfId="5" applyFont="1" applyFill="1" applyBorder="1" applyAlignment="1">
      <alignment horizontal="center" vertical="center" wrapText="1"/>
    </xf>
    <xf numFmtId="49" fontId="18" fillId="0" borderId="3" xfId="5" applyNumberFormat="1" applyFont="1" applyBorder="1" applyAlignment="1">
      <alignment horizontal="left" vertical="center" wrapText="1"/>
    </xf>
    <xf numFmtId="49" fontId="18" fillId="12" borderId="3" xfId="5" applyNumberFormat="1" applyFont="1" applyFill="1" applyBorder="1" applyAlignment="1">
      <alignment horizontal="center" vertical="center" wrapText="1"/>
    </xf>
    <xf numFmtId="0" fontId="16" fillId="2" borderId="16" xfId="5" applyFont="1" applyFill="1" applyBorder="1" applyAlignment="1">
      <alignment horizontal="center" vertical="center" wrapText="1"/>
    </xf>
    <xf numFmtId="0" fontId="20" fillId="0" borderId="16" xfId="5" applyFont="1" applyBorder="1" applyAlignment="1">
      <alignment wrapText="1"/>
    </xf>
    <xf numFmtId="0" fontId="25" fillId="2" borderId="16" xfId="5" applyFont="1" applyFill="1" applyBorder="1" applyAlignment="1">
      <alignment horizontal="center" vertical="center" wrapText="1"/>
    </xf>
    <xf numFmtId="0" fontId="16" fillId="2" borderId="11" xfId="5" applyFont="1" applyFill="1" applyBorder="1" applyAlignment="1">
      <alignment horizontal="center" vertical="center" wrapText="1"/>
    </xf>
    <xf numFmtId="0" fontId="20" fillId="0" borderId="12" xfId="5" applyFont="1" applyBorder="1" applyAlignment="1">
      <alignment wrapText="1"/>
    </xf>
    <xf numFmtId="49" fontId="18" fillId="10" borderId="3" xfId="5" applyNumberFormat="1" applyFont="1" applyFill="1" applyBorder="1" applyAlignment="1">
      <alignment horizontal="center" vertical="top" wrapText="1"/>
    </xf>
    <xf numFmtId="49" fontId="18" fillId="11" borderId="3" xfId="5" applyNumberFormat="1" applyFont="1" applyFill="1" applyBorder="1" applyAlignment="1">
      <alignment horizontal="left" vertical="top" wrapText="1"/>
    </xf>
    <xf numFmtId="167" fontId="18" fillId="0" borderId="3" xfId="5" applyNumberFormat="1" applyFont="1" applyBorder="1" applyAlignment="1">
      <alignment horizontal="left" vertical="center" wrapText="1"/>
    </xf>
    <xf numFmtId="49" fontId="18" fillId="12" borderId="3" xfId="5" applyNumberFormat="1" applyFont="1" applyFill="1" applyBorder="1" applyAlignment="1">
      <alignment horizontal="left" vertical="center" wrapText="1"/>
    </xf>
    <xf numFmtId="0" fontId="18" fillId="0" borderId="3" xfId="5" applyFont="1" applyBorder="1" applyAlignment="1">
      <alignment horizontal="center" vertical="center" wrapText="1"/>
    </xf>
    <xf numFmtId="0" fontId="17" fillId="12" borderId="11" xfId="5" applyFont="1" applyFill="1" applyBorder="1" applyAlignment="1">
      <alignment horizontal="left" vertical="center" wrapText="1"/>
    </xf>
    <xf numFmtId="0" fontId="20" fillId="0" borderId="7" xfId="5" applyFont="1" applyBorder="1" applyAlignment="1">
      <alignment wrapText="1"/>
    </xf>
    <xf numFmtId="0" fontId="18" fillId="0" borderId="16" xfId="5" applyFont="1" applyBorder="1" applyAlignment="1">
      <alignment horizontal="center" vertical="center" wrapText="1"/>
    </xf>
    <xf numFmtId="167" fontId="38" fillId="0" borderId="14" xfId="5" applyNumberFormat="1" applyFont="1" applyAlignment="1">
      <alignment horizontal="left" vertical="top" wrapText="1"/>
    </xf>
    <xf numFmtId="0" fontId="18" fillId="0" borderId="14" xfId="5" applyFont="1" applyAlignment="1">
      <alignment wrapText="1"/>
    </xf>
    <xf numFmtId="0" fontId="20" fillId="0" borderId="2" xfId="5" applyFont="1" applyBorder="1" applyAlignment="1">
      <alignment wrapText="1"/>
    </xf>
    <xf numFmtId="0" fontId="20" fillId="0" borderId="15" xfId="5" applyFont="1" applyBorder="1" applyAlignment="1">
      <alignment wrapText="1"/>
    </xf>
    <xf numFmtId="0" fontId="18" fillId="2" borderId="3" xfId="5" applyFont="1" applyFill="1" applyBorder="1" applyAlignment="1">
      <alignment horizontal="center" vertical="center" textRotation="90" wrapText="1"/>
    </xf>
    <xf numFmtId="0" fontId="16" fillId="2" borderId="3" xfId="5" applyFont="1" applyFill="1" applyBorder="1" applyAlignment="1">
      <alignment horizontal="center" vertical="center" wrapText="1"/>
    </xf>
    <xf numFmtId="49" fontId="18" fillId="0" borderId="3" xfId="5" applyNumberFormat="1" applyFont="1" applyBorder="1" applyAlignment="1">
      <alignment horizontal="left" vertical="top" wrapText="1"/>
    </xf>
    <xf numFmtId="0" fontId="17" fillId="12" borderId="3" xfId="5" applyFont="1" applyFill="1" applyBorder="1" applyAlignment="1">
      <alignment horizontal="center" vertical="center" wrapText="1"/>
    </xf>
    <xf numFmtId="0" fontId="18" fillId="2" borderId="13" xfId="5" applyFont="1" applyFill="1" applyBorder="1" applyAlignment="1">
      <alignment horizontal="left" vertical="center" wrapText="1"/>
    </xf>
    <xf numFmtId="0" fontId="20" fillId="0" borderId="5" xfId="5" applyFont="1" applyBorder="1" applyAlignment="1">
      <alignment wrapText="1"/>
    </xf>
    <xf numFmtId="0" fontId="16" fillId="2" borderId="5" xfId="5" applyFont="1" applyFill="1" applyBorder="1" applyAlignment="1">
      <alignment horizontal="right" vertical="center" wrapText="1"/>
    </xf>
    <xf numFmtId="0" fontId="18" fillId="0" borderId="43" xfId="5" applyFont="1" applyBorder="1" applyAlignment="1">
      <alignment horizontal="left" vertical="center" wrapText="1"/>
    </xf>
    <xf numFmtId="0" fontId="16" fillId="0" borderId="33" xfId="5" applyFont="1" applyBorder="1" applyAlignment="1">
      <alignment horizontal="right" vertical="center" wrapText="1"/>
    </xf>
    <xf numFmtId="0" fontId="16" fillId="0" borderId="33" xfId="8" applyFont="1" applyBorder="1" applyAlignment="1">
      <alignment horizontal="center" vertical="center" wrapText="1" readingOrder="1"/>
    </xf>
    <xf numFmtId="49" fontId="50" fillId="0" borderId="11" xfId="5" applyNumberFormat="1" applyFont="1" applyBorder="1" applyAlignment="1">
      <alignment horizontal="center" wrapText="1"/>
    </xf>
    <xf numFmtId="0" fontId="51" fillId="0" borderId="2" xfId="5" applyFont="1" applyBorder="1"/>
    <xf numFmtId="0" fontId="51" fillId="0" borderId="15" xfId="5" applyFont="1" applyBorder="1"/>
    <xf numFmtId="0" fontId="51" fillId="0" borderId="7" xfId="5" applyFont="1" applyBorder="1"/>
    <xf numFmtId="0" fontId="52" fillId="0" borderId="14" xfId="5" applyFont="1" applyAlignment="1"/>
    <xf numFmtId="0" fontId="51" fillId="0" borderId="10" xfId="5" applyFont="1" applyBorder="1"/>
    <xf numFmtId="0" fontId="51" fillId="0" borderId="12" xfId="5" applyFont="1" applyBorder="1"/>
    <xf numFmtId="0" fontId="51" fillId="0" borderId="1" xfId="5" applyFont="1" applyBorder="1"/>
    <xf numFmtId="0" fontId="51" fillId="0" borderId="9" xfId="5" applyFont="1" applyBorder="1"/>
    <xf numFmtId="49" fontId="50" fillId="0" borderId="11" xfId="5" applyNumberFormat="1" applyFont="1" applyBorder="1" applyAlignment="1">
      <alignment wrapText="1"/>
    </xf>
    <xf numFmtId="49" fontId="49" fillId="0" borderId="13" xfId="5" applyNumberFormat="1" applyFont="1" applyBorder="1" applyAlignment="1">
      <alignment horizontal="center" wrapText="1"/>
    </xf>
    <xf numFmtId="0" fontId="51" fillId="0" borderId="5" xfId="5" applyFont="1" applyBorder="1"/>
    <xf numFmtId="0" fontId="51" fillId="0" borderId="8" xfId="5" applyFont="1" applyBorder="1"/>
    <xf numFmtId="0" fontId="49" fillId="2" borderId="13" xfId="5" applyFont="1" applyFill="1" applyBorder="1" applyAlignment="1">
      <alignment horizontal="center" wrapText="1"/>
    </xf>
    <xf numFmtId="0" fontId="49" fillId="2" borderId="5" xfId="5" applyFont="1" applyFill="1" applyBorder="1" applyAlignment="1">
      <alignment horizontal="center" wrapText="1"/>
    </xf>
    <xf numFmtId="0" fontId="49" fillId="2" borderId="8" xfId="5" applyFont="1" applyFill="1" applyBorder="1" applyAlignment="1">
      <alignment horizontal="center" wrapText="1"/>
    </xf>
    <xf numFmtId="0" fontId="25" fillId="0" borderId="27" xfId="20" applyFont="1" applyFill="1" applyBorder="1" applyAlignment="1" applyProtection="1">
      <alignment horizontal="center" vertical="center" wrapText="1" readingOrder="1"/>
      <protection locked="0"/>
    </xf>
    <xf numFmtId="0" fontId="25" fillId="0" borderId="25" xfId="20" applyFont="1" applyFill="1" applyBorder="1" applyAlignment="1" applyProtection="1">
      <alignment horizontal="center" vertical="center" wrapText="1" readingOrder="1"/>
      <protection locked="0"/>
    </xf>
    <xf numFmtId="0" fontId="25" fillId="0" borderId="34" xfId="20" applyFont="1" applyFill="1" applyBorder="1" applyAlignment="1" applyProtection="1">
      <alignment horizontal="center" vertical="center" wrapText="1" readingOrder="1"/>
      <protection locked="0"/>
    </xf>
    <xf numFmtId="166" fontId="25" fillId="0" borderId="27" xfId="20" applyNumberFormat="1" applyFont="1" applyBorder="1" applyAlignment="1">
      <alignment horizontal="center" vertical="center"/>
    </xf>
    <xf numFmtId="166" fontId="25" fillId="0" borderId="25" xfId="20" applyNumberFormat="1" applyFont="1" applyBorder="1" applyAlignment="1">
      <alignment horizontal="center" vertical="center"/>
    </xf>
    <xf numFmtId="166" fontId="25" fillId="0" borderId="34" xfId="20" applyNumberFormat="1" applyFont="1" applyBorder="1" applyAlignment="1">
      <alignment horizontal="center" vertical="center"/>
    </xf>
    <xf numFmtId="0" fontId="27" fillId="0" borderId="18" xfId="20" applyFont="1" applyBorder="1" applyAlignment="1">
      <alignment horizontal="left"/>
    </xf>
    <xf numFmtId="0" fontId="27" fillId="0" borderId="19" xfId="20" applyFont="1" applyBorder="1" applyAlignment="1">
      <alignment horizontal="left"/>
    </xf>
    <xf numFmtId="0" fontId="27" fillId="0" borderId="20" xfId="20" applyFont="1" applyBorder="1" applyAlignment="1">
      <alignment horizontal="left"/>
    </xf>
    <xf numFmtId="0" fontId="28" fillId="0" borderId="14" xfId="20" applyFont="1" applyAlignment="1">
      <alignment horizontal="right"/>
    </xf>
    <xf numFmtId="0" fontId="27" fillId="0" borderId="14" xfId="20" applyFont="1" applyFill="1" applyAlignment="1">
      <alignment horizontal="center" wrapText="1"/>
    </xf>
    <xf numFmtId="0" fontId="25" fillId="22" borderId="27" xfId="20" applyFont="1" applyFill="1" applyBorder="1" applyAlignment="1" applyProtection="1">
      <alignment horizontal="center" vertical="center" textRotation="90" wrapText="1" readingOrder="1"/>
      <protection locked="0"/>
    </xf>
    <xf numFmtId="0" fontId="25" fillId="22" borderId="25" xfId="20" applyFont="1" applyFill="1" applyBorder="1" applyAlignment="1" applyProtection="1">
      <alignment horizontal="center" vertical="center" textRotation="90" wrapText="1" readingOrder="1"/>
      <protection locked="0"/>
    </xf>
    <xf numFmtId="0" fontId="25" fillId="22" borderId="34" xfId="20" applyFont="1" applyFill="1" applyBorder="1" applyAlignment="1" applyProtection="1">
      <alignment horizontal="center" vertical="center" textRotation="90" wrapText="1" readingOrder="1"/>
      <protection locked="0"/>
    </xf>
    <xf numFmtId="0" fontId="25" fillId="0" borderId="24" xfId="20" applyFont="1" applyFill="1" applyBorder="1" applyAlignment="1" applyProtection="1">
      <alignment horizontal="center" vertical="center" wrapText="1" readingOrder="1"/>
      <protection locked="0"/>
    </xf>
    <xf numFmtId="166" fontId="25" fillId="0" borderId="24" xfId="20" applyNumberFormat="1" applyFont="1" applyBorder="1" applyAlignment="1">
      <alignment horizontal="center" vertical="center"/>
    </xf>
    <xf numFmtId="0" fontId="51" fillId="0" borderId="14" xfId="1" applyFont="1" applyAlignment="1">
      <alignment horizontal="center" wrapText="1"/>
    </xf>
    <xf numFmtId="0" fontId="51" fillId="0" borderId="14" xfId="1" applyFont="1" applyAlignment="1">
      <alignment horizontal="right" vertical="center"/>
    </xf>
    <xf numFmtId="0" fontId="51" fillId="6" borderId="14" xfId="1" applyFont="1" applyFill="1" applyAlignment="1">
      <alignment horizontal="left" wrapText="1"/>
    </xf>
    <xf numFmtId="0" fontId="53" fillId="28" borderId="18" xfId="1" applyFont="1" applyFill="1" applyBorder="1" applyAlignment="1">
      <alignment horizontal="center" vertical="center" wrapText="1"/>
    </xf>
    <xf numFmtId="0" fontId="53" fillId="28" borderId="19" xfId="1" applyFont="1" applyFill="1" applyBorder="1" applyAlignment="1">
      <alignment horizontal="center" vertical="center" wrapText="1"/>
    </xf>
    <xf numFmtId="0" fontId="53" fillId="28" borderId="20" xfId="1" applyFont="1" applyFill="1" applyBorder="1" applyAlignment="1">
      <alignment horizontal="center" vertical="center" wrapText="1"/>
    </xf>
    <xf numFmtId="0" fontId="51" fillId="6" borderId="14" xfId="1" applyFont="1" applyFill="1" applyBorder="1" applyAlignment="1">
      <alignment horizontal="left" vertical="center" wrapText="1"/>
    </xf>
    <xf numFmtId="0" fontId="51" fillId="6" borderId="14" xfId="1" applyFont="1" applyFill="1" applyAlignment="1">
      <alignment horizontal="left" vertical="center" wrapText="1"/>
    </xf>
    <xf numFmtId="0" fontId="53" fillId="0" borderId="14" xfId="1" applyFont="1" applyAlignment="1">
      <alignment horizontal="center" vertical="center" wrapText="1"/>
    </xf>
    <xf numFmtId="0" fontId="53" fillId="0" borderId="33" xfId="1" applyFont="1" applyBorder="1" applyAlignment="1">
      <alignment horizontal="center" vertical="center" wrapText="1"/>
    </xf>
    <xf numFmtId="0" fontId="51" fillId="0" borderId="14" xfId="1" applyFont="1" applyBorder="1" applyAlignment="1">
      <alignment horizontal="left"/>
    </xf>
    <xf numFmtId="0" fontId="51" fillId="0" borderId="14" xfId="1" applyFont="1" applyAlignment="1">
      <alignment horizontal="left"/>
    </xf>
    <xf numFmtId="0" fontId="51" fillId="0" borderId="14" xfId="1" applyFont="1" applyAlignment="1">
      <alignment horizontal="left" vertical="center"/>
    </xf>
    <xf numFmtId="0" fontId="51" fillId="0" borderId="14" xfId="1" applyFont="1" applyBorder="1" applyAlignment="1">
      <alignment horizontal="left" vertical="center"/>
    </xf>
    <xf numFmtId="0" fontId="51" fillId="6" borderId="14" xfId="1" applyFont="1" applyFill="1" applyBorder="1" applyAlignment="1">
      <alignment horizontal="center"/>
    </xf>
    <xf numFmtId="0" fontId="51" fillId="6" borderId="14" xfId="1" applyFont="1" applyFill="1" applyAlignment="1">
      <alignment horizontal="center"/>
    </xf>
    <xf numFmtId="0" fontId="53" fillId="28" borderId="18" xfId="1" applyFont="1" applyFill="1" applyBorder="1" applyAlignment="1">
      <alignment horizontal="center" vertical="center"/>
    </xf>
    <xf numFmtId="0" fontId="53" fillId="28" borderId="19" xfId="1" applyFont="1" applyFill="1" applyBorder="1" applyAlignment="1">
      <alignment horizontal="center" vertical="center"/>
    </xf>
    <xf numFmtId="0" fontId="53" fillId="28" borderId="20" xfId="1" applyFont="1" applyFill="1" applyBorder="1" applyAlignment="1">
      <alignment horizontal="center" vertical="center"/>
    </xf>
    <xf numFmtId="0" fontId="19" fillId="0" borderId="14" xfId="26" applyFont="1" applyAlignment="1">
      <alignment horizontal="center" wrapText="1"/>
    </xf>
    <xf numFmtId="0" fontId="17" fillId="0" borderId="14" xfId="24" applyFont="1" applyAlignment="1">
      <alignment horizontal="right" indent="3"/>
    </xf>
    <xf numFmtId="0" fontId="19" fillId="0" borderId="14" xfId="24" applyFont="1" applyAlignment="1">
      <alignment horizontal="center" wrapText="1"/>
    </xf>
    <xf numFmtId="0" fontId="17" fillId="21" borderId="17" xfId="24" applyFont="1" applyFill="1" applyBorder="1" applyAlignment="1">
      <alignment horizontal="center" vertical="center" wrapText="1"/>
    </xf>
    <xf numFmtId="0" fontId="17" fillId="21" borderId="22" xfId="24" applyFont="1" applyFill="1" applyBorder="1" applyAlignment="1">
      <alignment horizontal="center" vertical="center" wrapText="1"/>
    </xf>
    <xf numFmtId="0" fontId="20" fillId="21" borderId="17" xfId="2" applyFont="1" applyFill="1" applyBorder="1" applyAlignment="1">
      <alignment horizontal="center" vertical="center" wrapText="1"/>
    </xf>
    <xf numFmtId="0" fontId="20" fillId="21" borderId="21" xfId="2" applyFont="1" applyFill="1" applyBorder="1" applyAlignment="1">
      <alignment horizontal="center" vertical="center" wrapText="1"/>
    </xf>
    <xf numFmtId="0" fontId="17" fillId="21" borderId="21" xfId="24" applyFont="1" applyFill="1" applyBorder="1" applyAlignment="1">
      <alignment horizontal="center" vertical="center" wrapText="1"/>
    </xf>
    <xf numFmtId="0" fontId="17" fillId="21" borderId="16" xfId="24" applyFont="1" applyFill="1" applyBorder="1" applyAlignment="1">
      <alignment horizontal="center" vertical="center" wrapText="1"/>
    </xf>
    <xf numFmtId="0" fontId="25" fillId="21" borderId="18" xfId="2" applyFont="1" applyFill="1" applyBorder="1" applyAlignment="1">
      <alignment horizontal="center" vertical="center" wrapText="1"/>
    </xf>
    <xf numFmtId="0" fontId="25" fillId="21" borderId="20" xfId="2" applyFont="1" applyFill="1" applyBorder="1" applyAlignment="1">
      <alignment horizontal="center" vertical="center" wrapText="1"/>
    </xf>
    <xf numFmtId="165" fontId="25" fillId="21" borderId="36" xfId="2" applyNumberFormat="1" applyFont="1" applyFill="1" applyBorder="1" applyAlignment="1">
      <alignment horizontal="center" vertical="center" wrapText="1"/>
    </xf>
    <xf numFmtId="165" fontId="25" fillId="21" borderId="33" xfId="2" applyNumberFormat="1" applyFont="1" applyFill="1" applyBorder="1" applyAlignment="1">
      <alignment horizontal="center" vertical="center" wrapText="1"/>
    </xf>
    <xf numFmtId="165" fontId="25" fillId="21" borderId="16" xfId="2" applyNumberFormat="1" applyFont="1" applyFill="1" applyBorder="1" applyAlignment="1">
      <alignment horizontal="center" vertical="center" wrapText="1"/>
    </xf>
    <xf numFmtId="0" fontId="19" fillId="21" borderId="16" xfId="24" applyFont="1" applyFill="1" applyBorder="1" applyAlignment="1">
      <alignment horizontal="center" wrapText="1"/>
    </xf>
    <xf numFmtId="0" fontId="19" fillId="21" borderId="16" xfId="24" applyFont="1" applyFill="1" applyBorder="1" applyAlignment="1">
      <alignment horizontal="center" vertical="center" wrapText="1"/>
    </xf>
    <xf numFmtId="0" fontId="61" fillId="6" borderId="14" xfId="28" applyFont="1" applyFill="1" applyAlignment="1">
      <alignment horizontal="center" wrapText="1"/>
    </xf>
    <xf numFmtId="0" fontId="48" fillId="6" borderId="14" xfId="28" applyFont="1" applyFill="1" applyBorder="1" applyAlignment="1">
      <alignment horizontal="center" wrapText="1"/>
    </xf>
    <xf numFmtId="0" fontId="61" fillId="6" borderId="33" xfId="28" applyFont="1" applyFill="1" applyBorder="1" applyAlignment="1">
      <alignment horizontal="right" wrapText="1"/>
    </xf>
    <xf numFmtId="0" fontId="46" fillId="6" borderId="14" xfId="2" applyFont="1" applyFill="1" applyAlignment="1">
      <alignment horizontal="center" wrapText="1"/>
    </xf>
    <xf numFmtId="0" fontId="47" fillId="6" borderId="14" xfId="2" applyFont="1" applyFill="1" applyAlignment="1">
      <alignment horizontal="right"/>
    </xf>
    <xf numFmtId="0" fontId="41" fillId="31" borderId="32" xfId="31" applyFont="1" applyFill="1" applyBorder="1" applyAlignment="1">
      <alignment horizontal="left"/>
    </xf>
    <xf numFmtId="0" fontId="41" fillId="31" borderId="56" xfId="31" applyFont="1" applyFill="1" applyBorder="1" applyAlignment="1">
      <alignment horizontal="left"/>
    </xf>
    <xf numFmtId="0" fontId="41" fillId="31" borderId="57" xfId="31" applyFont="1" applyFill="1" applyBorder="1" applyAlignment="1">
      <alignment horizontal="left"/>
    </xf>
    <xf numFmtId="0" fontId="19" fillId="31" borderId="32" xfId="31" applyFont="1" applyFill="1" applyBorder="1" applyAlignment="1">
      <alignment horizontal="center"/>
    </xf>
    <xf numFmtId="0" fontId="19" fillId="31" borderId="56" xfId="31" applyFont="1" applyFill="1" applyBorder="1" applyAlignment="1">
      <alignment horizontal="center"/>
    </xf>
    <xf numFmtId="0" fontId="19" fillId="31" borderId="57" xfId="31" applyFont="1" applyFill="1" applyBorder="1" applyAlignment="1">
      <alignment horizontal="center"/>
    </xf>
    <xf numFmtId="0" fontId="19" fillId="32" borderId="76" xfId="31" applyFont="1" applyFill="1" applyBorder="1" applyAlignment="1">
      <alignment horizontal="center"/>
    </xf>
    <xf numFmtId="0" fontId="19" fillId="32" borderId="19" xfId="31" applyFont="1" applyFill="1" applyBorder="1" applyAlignment="1">
      <alignment horizontal="center"/>
    </xf>
    <xf numFmtId="0" fontId="19" fillId="32" borderId="80" xfId="31" applyFont="1" applyFill="1" applyBorder="1" applyAlignment="1">
      <alignment horizontal="center"/>
    </xf>
    <xf numFmtId="0" fontId="19" fillId="32" borderId="38" xfId="31" applyFont="1" applyFill="1" applyBorder="1" applyAlignment="1">
      <alignment horizontal="center"/>
    </xf>
    <xf numFmtId="0" fontId="19" fillId="32" borderId="33" xfId="31" applyFont="1" applyFill="1" applyBorder="1" applyAlignment="1">
      <alignment horizontal="center"/>
    </xf>
    <xf numFmtId="0" fontId="19" fillId="32" borderId="67" xfId="31" applyFont="1" applyFill="1" applyBorder="1" applyAlignment="1">
      <alignment horizontal="center"/>
    </xf>
    <xf numFmtId="0" fontId="19" fillId="31" borderId="38" xfId="31" applyFont="1" applyFill="1" applyBorder="1" applyAlignment="1">
      <alignment horizontal="center"/>
    </xf>
    <xf numFmtId="0" fontId="19" fillId="31" borderId="33" xfId="31" applyFont="1" applyFill="1" applyBorder="1" applyAlignment="1">
      <alignment horizontal="center"/>
    </xf>
    <xf numFmtId="0" fontId="19" fillId="31" borderId="67" xfId="31" applyFont="1" applyFill="1" applyBorder="1" applyAlignment="1">
      <alignment horizontal="center"/>
    </xf>
    <xf numFmtId="1" fontId="19" fillId="28" borderId="19" xfId="31" applyNumberFormat="1" applyFont="1" applyFill="1" applyBorder="1" applyAlignment="1">
      <alignment horizontal="center"/>
    </xf>
    <xf numFmtId="1" fontId="19" fillId="28" borderId="80" xfId="31" applyNumberFormat="1" applyFont="1" applyFill="1" applyBorder="1" applyAlignment="1">
      <alignment horizontal="center"/>
    </xf>
    <xf numFmtId="0" fontId="25" fillId="32" borderId="38" xfId="31" applyFont="1" applyFill="1" applyBorder="1" applyAlignment="1">
      <alignment horizontal="center"/>
    </xf>
    <xf numFmtId="0" fontId="25" fillId="32" borderId="33" xfId="31" applyFont="1" applyFill="1" applyBorder="1" applyAlignment="1">
      <alignment horizontal="center"/>
    </xf>
    <xf numFmtId="0" fontId="25" fillId="32" borderId="67" xfId="31" applyFont="1" applyFill="1" applyBorder="1" applyAlignment="1">
      <alignment horizontal="center"/>
    </xf>
    <xf numFmtId="0" fontId="19" fillId="28" borderId="19" xfId="31" applyFont="1" applyFill="1" applyBorder="1" applyAlignment="1">
      <alignment horizontal="center"/>
    </xf>
    <xf numFmtId="0" fontId="19" fillId="28" borderId="80" xfId="31" applyFont="1" applyFill="1" applyBorder="1" applyAlignment="1">
      <alignment horizontal="center"/>
    </xf>
    <xf numFmtId="0" fontId="19" fillId="0" borderId="76" xfId="31" applyFont="1" applyBorder="1" applyAlignment="1">
      <alignment horizontal="center"/>
    </xf>
    <xf numFmtId="0" fontId="19" fillId="0" borderId="19" xfId="31" applyFont="1" applyBorder="1" applyAlignment="1">
      <alignment horizontal="center"/>
    </xf>
    <xf numFmtId="0" fontId="19" fillId="0" borderId="80" xfId="31" applyFont="1" applyBorder="1" applyAlignment="1">
      <alignment horizontal="center"/>
    </xf>
    <xf numFmtId="1" fontId="19" fillId="28" borderId="78" xfId="31" applyNumberFormat="1" applyFont="1" applyFill="1" applyBorder="1" applyAlignment="1">
      <alignment horizontal="center"/>
    </xf>
    <xf numFmtId="1" fontId="19" fillId="28" borderId="79" xfId="31" applyNumberFormat="1" applyFont="1" applyFill="1" applyBorder="1" applyAlignment="1">
      <alignment horizontal="center"/>
    </xf>
    <xf numFmtId="0" fontId="19" fillId="6" borderId="38" xfId="31" applyFont="1" applyFill="1" applyBorder="1" applyAlignment="1">
      <alignment horizontal="center"/>
    </xf>
    <xf numFmtId="0" fontId="19" fillId="6" borderId="33" xfId="31" applyFont="1" applyFill="1" applyBorder="1" applyAlignment="1">
      <alignment horizontal="center"/>
    </xf>
    <xf numFmtId="0" fontId="19" fillId="6" borderId="67" xfId="31" applyFont="1" applyFill="1" applyBorder="1" applyAlignment="1">
      <alignment horizontal="center"/>
    </xf>
    <xf numFmtId="0" fontId="41" fillId="31" borderId="72" xfId="31" applyFont="1" applyFill="1" applyBorder="1" applyAlignment="1">
      <alignment horizontal="left"/>
    </xf>
    <xf numFmtId="0" fontId="41" fillId="31" borderId="73" xfId="31" applyFont="1" applyFill="1" applyBorder="1" applyAlignment="1">
      <alignment horizontal="left"/>
    </xf>
    <xf numFmtId="0" fontId="17" fillId="28" borderId="78" xfId="31" applyFont="1" applyFill="1" applyBorder="1" applyAlignment="1">
      <alignment horizontal="center"/>
    </xf>
    <xf numFmtId="0" fontId="17" fillId="28" borderId="79" xfId="31" applyFont="1" applyFill="1" applyBorder="1" applyAlignment="1">
      <alignment horizontal="center"/>
    </xf>
    <xf numFmtId="0" fontId="19" fillId="32" borderId="68" xfId="31" applyFont="1" applyFill="1" applyBorder="1" applyAlignment="1">
      <alignment horizontal="center"/>
    </xf>
    <xf numFmtId="0" fontId="19" fillId="32" borderId="51" xfId="31" applyFont="1" applyFill="1" applyBorder="1" applyAlignment="1">
      <alignment horizontal="center"/>
    </xf>
    <xf numFmtId="0" fontId="19" fillId="32" borderId="69" xfId="31" applyFont="1" applyFill="1" applyBorder="1" applyAlignment="1">
      <alignment horizontal="center"/>
    </xf>
    <xf numFmtId="0" fontId="41" fillId="31" borderId="71" xfId="31" applyFont="1" applyFill="1" applyBorder="1" applyAlignment="1">
      <alignment horizontal="left"/>
    </xf>
    <xf numFmtId="0" fontId="19" fillId="31" borderId="65" xfId="31" applyFont="1" applyFill="1" applyBorder="1" applyAlignment="1">
      <alignment horizontal="center"/>
    </xf>
    <xf numFmtId="0" fontId="19" fillId="31" borderId="22" xfId="31" applyFont="1" applyFill="1" applyBorder="1" applyAlignment="1">
      <alignment horizontal="center"/>
    </xf>
    <xf numFmtId="0" fontId="19" fillId="31" borderId="66" xfId="31" applyFont="1" applyFill="1" applyBorder="1" applyAlignment="1">
      <alignment horizontal="center"/>
    </xf>
    <xf numFmtId="0" fontId="19" fillId="32" borderId="59" xfId="31" applyFont="1" applyFill="1" applyBorder="1" applyAlignment="1">
      <alignment horizontal="center"/>
    </xf>
    <xf numFmtId="0" fontId="19" fillId="32" borderId="16" xfId="31" applyFont="1" applyFill="1" applyBorder="1" applyAlignment="1">
      <alignment horizontal="center"/>
    </xf>
    <xf numFmtId="0" fontId="19" fillId="32" borderId="60" xfId="31" applyFont="1" applyFill="1" applyBorder="1" applyAlignment="1">
      <alignment horizontal="center"/>
    </xf>
    <xf numFmtId="0" fontId="19" fillId="32" borderId="68" xfId="31" applyFont="1" applyFill="1" applyBorder="1" applyAlignment="1">
      <alignment horizontal="center" wrapText="1"/>
    </xf>
    <xf numFmtId="0" fontId="19" fillId="32" borderId="51" xfId="31" applyFont="1" applyFill="1" applyBorder="1" applyAlignment="1">
      <alignment horizontal="center" wrapText="1"/>
    </xf>
    <xf numFmtId="0" fontId="19" fillId="32" borderId="69" xfId="31" applyFont="1" applyFill="1" applyBorder="1" applyAlignment="1">
      <alignment horizontal="center" wrapText="1"/>
    </xf>
    <xf numFmtId="0" fontId="25" fillId="32" borderId="68" xfId="31" applyFont="1" applyFill="1" applyBorder="1" applyAlignment="1">
      <alignment horizontal="center"/>
    </xf>
    <xf numFmtId="0" fontId="25" fillId="32" borderId="51" xfId="31" applyFont="1" applyFill="1" applyBorder="1" applyAlignment="1">
      <alignment horizontal="center"/>
    </xf>
    <xf numFmtId="0" fontId="25" fillId="32" borderId="69" xfId="31" applyFont="1" applyFill="1" applyBorder="1" applyAlignment="1">
      <alignment horizontal="center"/>
    </xf>
    <xf numFmtId="0" fontId="19" fillId="32" borderId="61" xfId="31" applyFont="1" applyFill="1" applyBorder="1" applyAlignment="1">
      <alignment horizontal="center"/>
    </xf>
    <xf numFmtId="0" fontId="19" fillId="32" borderId="52" xfId="31" applyFont="1" applyFill="1" applyBorder="1" applyAlignment="1">
      <alignment horizontal="center"/>
    </xf>
    <xf numFmtId="0" fontId="19" fillId="32" borderId="53" xfId="31" applyFont="1" applyFill="1" applyBorder="1" applyAlignment="1">
      <alignment horizontal="center"/>
    </xf>
    <xf numFmtId="0" fontId="25" fillId="31" borderId="30" xfId="32" applyFont="1" applyFill="1" applyBorder="1" applyAlignment="1">
      <alignment horizontal="center"/>
    </xf>
    <xf numFmtId="0" fontId="41" fillId="31" borderId="74" xfId="32" applyFont="1" applyFill="1" applyBorder="1" applyAlignment="1">
      <alignment horizontal="center"/>
    </xf>
    <xf numFmtId="0" fontId="41" fillId="31" borderId="75" xfId="32" applyFont="1" applyFill="1" applyBorder="1" applyAlignment="1">
      <alignment horizontal="center"/>
    </xf>
    <xf numFmtId="0" fontId="19" fillId="32" borderId="29" xfId="31" applyFont="1" applyFill="1" applyBorder="1" applyAlignment="1">
      <alignment horizontal="center"/>
    </xf>
    <xf numFmtId="0" fontId="19" fillId="32" borderId="50" xfId="31" applyFont="1" applyFill="1" applyBorder="1" applyAlignment="1">
      <alignment horizontal="center"/>
    </xf>
    <xf numFmtId="0" fontId="19" fillId="32" borderId="58" xfId="31" applyFont="1" applyFill="1" applyBorder="1" applyAlignment="1">
      <alignment horizontal="center"/>
    </xf>
    <xf numFmtId="0" fontId="19" fillId="32" borderId="65" xfId="31" applyFont="1" applyFill="1" applyBorder="1" applyAlignment="1">
      <alignment horizontal="center"/>
    </xf>
    <xf numFmtId="0" fontId="19" fillId="32" borderId="22" xfId="31" applyFont="1" applyFill="1" applyBorder="1" applyAlignment="1">
      <alignment horizontal="center"/>
    </xf>
    <xf numFmtId="0" fontId="19" fillId="32" borderId="66" xfId="31" applyFont="1" applyFill="1" applyBorder="1" applyAlignment="1">
      <alignment horizontal="center"/>
    </xf>
    <xf numFmtId="0" fontId="19" fillId="32" borderId="65" xfId="31" quotePrefix="1" applyFont="1" applyFill="1" applyBorder="1" applyAlignment="1">
      <alignment horizontal="center"/>
    </xf>
    <xf numFmtId="0" fontId="25" fillId="0" borderId="14" xfId="31" applyFont="1" applyAlignment="1">
      <alignment horizontal="center" vertical="center" wrapText="1"/>
    </xf>
    <xf numFmtId="0" fontId="25" fillId="0" borderId="14" xfId="31" applyFont="1" applyBorder="1" applyAlignment="1">
      <alignment horizontal="center" vertical="center" wrapText="1"/>
    </xf>
    <xf numFmtId="0" fontId="25" fillId="32" borderId="61" xfId="32" applyFont="1" applyFill="1" applyBorder="1" applyAlignment="1">
      <alignment horizontal="center" vertical="center"/>
    </xf>
    <xf numFmtId="0" fontId="25" fillId="32" borderId="64" xfId="32" applyFont="1" applyFill="1" applyBorder="1" applyAlignment="1">
      <alignment horizontal="center" vertical="center"/>
    </xf>
    <xf numFmtId="0" fontId="25" fillId="32" borderId="52" xfId="32" applyFont="1" applyFill="1" applyBorder="1" applyAlignment="1">
      <alignment horizontal="center" vertical="center" wrapText="1"/>
    </xf>
    <xf numFmtId="0" fontId="25" fillId="32" borderId="54" xfId="32" applyFont="1" applyFill="1" applyBorder="1" applyAlignment="1">
      <alignment horizontal="center" vertical="center" wrapText="1"/>
    </xf>
    <xf numFmtId="0" fontId="25" fillId="32" borderId="52" xfId="32" applyFont="1" applyFill="1" applyBorder="1" applyAlignment="1">
      <alignment horizontal="center"/>
    </xf>
    <xf numFmtId="0" fontId="25" fillId="32" borderId="52" xfId="32" applyFont="1" applyFill="1" applyBorder="1" applyAlignment="1">
      <alignment horizontal="center" wrapText="1"/>
    </xf>
    <xf numFmtId="0" fontId="25" fillId="32" borderId="52" xfId="31" applyFont="1" applyFill="1" applyBorder="1" applyAlignment="1">
      <alignment horizontal="center" vertical="center" wrapText="1"/>
    </xf>
    <xf numFmtId="0" fontId="25" fillId="32" borderId="54" xfId="31" applyFont="1" applyFill="1" applyBorder="1" applyAlignment="1">
      <alignment horizontal="center" vertical="center" wrapText="1"/>
    </xf>
    <xf numFmtId="0" fontId="19" fillId="32" borderId="52" xfId="31" applyFont="1" applyFill="1" applyBorder="1" applyAlignment="1">
      <alignment horizontal="center" vertical="center" wrapText="1"/>
    </xf>
    <xf numFmtId="0" fontId="19" fillId="32" borderId="54" xfId="31" applyFont="1" applyFill="1" applyBorder="1" applyAlignment="1">
      <alignment horizontal="center" vertical="center" wrapText="1"/>
    </xf>
    <xf numFmtId="0" fontId="19" fillId="32" borderId="53" xfId="31" applyFont="1" applyFill="1" applyBorder="1" applyAlignment="1">
      <alignment horizontal="center" vertical="center"/>
    </xf>
    <xf numFmtId="0" fontId="19" fillId="32" borderId="55" xfId="31" applyFont="1" applyFill="1" applyBorder="1" applyAlignment="1">
      <alignment horizontal="center" vertical="center"/>
    </xf>
    <xf numFmtId="0" fontId="25" fillId="32" borderId="50" xfId="32" applyFont="1" applyFill="1" applyBorder="1" applyAlignment="1">
      <alignment horizontal="center" vertical="center" wrapText="1"/>
    </xf>
    <xf numFmtId="0" fontId="25" fillId="32" borderId="44" xfId="32" applyFont="1" applyFill="1" applyBorder="1" applyAlignment="1">
      <alignment horizontal="center" vertical="center" wrapText="1"/>
    </xf>
    <xf numFmtId="165" fontId="25" fillId="30" borderId="52" xfId="31" applyNumberFormat="1" applyFont="1" applyFill="1" applyBorder="1" applyAlignment="1">
      <alignment horizontal="center"/>
    </xf>
    <xf numFmtId="2" fontId="25" fillId="30" borderId="54" xfId="31" applyNumberFormat="1" applyFont="1" applyFill="1" applyBorder="1" applyAlignment="1">
      <alignment horizontal="center"/>
    </xf>
    <xf numFmtId="164" fontId="25" fillId="30" borderId="54" xfId="31" applyNumberFormat="1" applyFont="1" applyFill="1" applyBorder="1" applyAlignment="1">
      <alignment horizontal="center"/>
    </xf>
    <xf numFmtId="0" fontId="25" fillId="30" borderId="22" xfId="31" applyFont="1" applyFill="1" applyBorder="1" applyAlignment="1">
      <alignment horizontal="center"/>
    </xf>
    <xf numFmtId="0" fontId="25" fillId="30" borderId="54" xfId="31" applyFont="1" applyFill="1" applyBorder="1" applyAlignment="1">
      <alignment horizontal="center"/>
    </xf>
    <xf numFmtId="0" fontId="17" fillId="30" borderId="52" xfId="31" applyFont="1" applyFill="1" applyBorder="1" applyAlignment="1">
      <alignment horizontal="center"/>
    </xf>
    <xf numFmtId="1" fontId="44" fillId="30" borderId="52" xfId="31" applyNumberFormat="1" applyFont="1" applyFill="1" applyBorder="1" applyAlignment="1">
      <alignment horizontal="center"/>
    </xf>
    <xf numFmtId="165" fontId="44" fillId="30" borderId="52" xfId="31" applyNumberFormat="1" applyFont="1" applyFill="1" applyBorder="1" applyAlignment="1"/>
    <xf numFmtId="165" fontId="44" fillId="30" borderId="53" xfId="31" applyNumberFormat="1" applyFont="1" applyFill="1" applyBorder="1" applyAlignment="1"/>
    <xf numFmtId="165" fontId="44" fillId="30" borderId="54" xfId="31" applyNumberFormat="1" applyFont="1" applyFill="1" applyBorder="1" applyAlignment="1"/>
    <xf numFmtId="165" fontId="44" fillId="30" borderId="55" xfId="31" applyNumberFormat="1" applyFont="1" applyFill="1" applyBorder="1" applyAlignment="1"/>
    <xf numFmtId="165" fontId="25" fillId="30" borderId="17" xfId="31" applyNumberFormat="1" applyFont="1" applyFill="1" applyBorder="1" applyAlignment="1">
      <alignment horizontal="center"/>
    </xf>
    <xf numFmtId="0" fontId="20" fillId="0" borderId="14" xfId="5" applyFont="1"/>
    <xf numFmtId="0" fontId="66" fillId="0" borderId="14" xfId="5" applyFont="1"/>
    <xf numFmtId="0" fontId="54" fillId="0" borderId="14" xfId="33" applyFont="1" applyBorder="1" applyAlignment="1">
      <alignment horizontal="right"/>
    </xf>
    <xf numFmtId="0" fontId="67" fillId="0" borderId="14" xfId="5" applyFont="1" applyBorder="1" applyAlignment="1">
      <alignment horizontal="center"/>
    </xf>
    <xf numFmtId="0" fontId="67" fillId="0" borderId="14" xfId="5" applyFont="1" applyBorder="1" applyAlignment="1"/>
    <xf numFmtId="0" fontId="54" fillId="0" borderId="14" xfId="5" applyFont="1"/>
    <xf numFmtId="0" fontId="66" fillId="0" borderId="14" xfId="5" applyFont="1" applyBorder="1"/>
    <xf numFmtId="0" fontId="54" fillId="0" borderId="14" xfId="5" applyFont="1" applyBorder="1" applyAlignment="1">
      <alignment horizontal="right"/>
    </xf>
    <xf numFmtId="0" fontId="20" fillId="5" borderId="16" xfId="5" applyFont="1" applyFill="1" applyBorder="1" applyAlignment="1">
      <alignment horizontal="center"/>
    </xf>
    <xf numFmtId="9" fontId="54" fillId="5" borderId="16" xfId="5" applyNumberFormat="1" applyFont="1" applyFill="1" applyBorder="1" applyAlignment="1">
      <alignment horizontal="center" wrapText="1"/>
    </xf>
    <xf numFmtId="0" fontId="54" fillId="5" borderId="16" xfId="5" applyFont="1" applyFill="1" applyBorder="1" applyAlignment="1">
      <alignment horizontal="center" wrapText="1"/>
    </xf>
    <xf numFmtId="0" fontId="18" fillId="5" borderId="16" xfId="5" applyFont="1" applyFill="1" applyBorder="1"/>
    <xf numFmtId="0" fontId="20" fillId="0" borderId="16" xfId="5" applyFont="1" applyFill="1" applyBorder="1" applyAlignment="1">
      <alignment horizontal="left"/>
    </xf>
    <xf numFmtId="164" fontId="54" fillId="0" borderId="16" xfId="5" applyNumberFormat="1" applyFont="1" applyFill="1" applyBorder="1"/>
    <xf numFmtId="165" fontId="54" fillId="0" borderId="16" xfId="5" applyNumberFormat="1" applyFont="1" applyFill="1" applyBorder="1"/>
    <xf numFmtId="165" fontId="55" fillId="0" borderId="16" xfId="5" applyNumberFormat="1" applyFont="1" applyFill="1" applyBorder="1"/>
    <xf numFmtId="164" fontId="54" fillId="26" borderId="16" xfId="5" applyNumberFormat="1" applyFont="1" applyFill="1" applyBorder="1"/>
    <xf numFmtId="0" fontId="17" fillId="0" borderId="16" xfId="5" applyFont="1" applyFill="1" applyBorder="1" applyAlignment="1">
      <alignment horizontal="left"/>
    </xf>
    <xf numFmtId="164" fontId="56" fillId="0" borderId="16" xfId="5" applyNumberFormat="1" applyFont="1" applyFill="1" applyBorder="1"/>
    <xf numFmtId="2" fontId="54" fillId="0" borderId="16" xfId="5" applyNumberFormat="1" applyFont="1" applyFill="1" applyBorder="1"/>
    <xf numFmtId="164" fontId="54" fillId="6" borderId="16" xfId="5" applyNumberFormat="1" applyFont="1" applyFill="1" applyBorder="1"/>
    <xf numFmtId="0" fontId="66" fillId="0" borderId="14" xfId="5" applyFont="1" applyFill="1"/>
    <xf numFmtId="165" fontId="56" fillId="6" borderId="16" xfId="5" applyNumberFormat="1" applyFont="1" applyFill="1" applyBorder="1"/>
    <xf numFmtId="165" fontId="54" fillId="6" borderId="16" xfId="5" applyNumberFormat="1" applyFont="1" applyFill="1" applyBorder="1"/>
    <xf numFmtId="0" fontId="20" fillId="0" borderId="16" xfId="5" applyFont="1" applyFill="1" applyBorder="1" applyAlignment="1">
      <alignment horizontal="left" wrapText="1"/>
    </xf>
    <xf numFmtId="0" fontId="17" fillId="0" borderId="16" xfId="5" applyFont="1" applyFill="1" applyBorder="1" applyAlignment="1">
      <alignment horizontal="left" wrapText="1"/>
    </xf>
    <xf numFmtId="2" fontId="57" fillId="0" borderId="16" xfId="5" applyNumberFormat="1" applyFont="1" applyFill="1" applyBorder="1"/>
    <xf numFmtId="0" fontId="20" fillId="0" borderId="16" xfId="5" applyFont="1" applyFill="1" applyBorder="1" applyAlignment="1">
      <alignment vertical="center"/>
    </xf>
    <xf numFmtId="0" fontId="57" fillId="0" borderId="16" xfId="5" applyFont="1" applyFill="1" applyBorder="1"/>
    <xf numFmtId="0" fontId="20" fillId="0" borderId="16" xfId="5" applyFont="1" applyFill="1" applyBorder="1"/>
    <xf numFmtId="0" fontId="17" fillId="0" borderId="16" xfId="5" applyFont="1" applyFill="1" applyBorder="1"/>
    <xf numFmtId="165" fontId="56" fillId="0" borderId="16" xfId="5" applyNumberFormat="1" applyFont="1" applyFill="1" applyBorder="1"/>
    <xf numFmtId="0" fontId="17" fillId="0" borderId="16" xfId="33" applyFont="1" applyFill="1" applyBorder="1" applyAlignment="1">
      <alignment wrapText="1"/>
    </xf>
    <xf numFmtId="0" fontId="17" fillId="0" borderId="16" xfId="5" applyFont="1" applyFill="1" applyBorder="1" applyAlignment="1">
      <alignment wrapText="1"/>
    </xf>
    <xf numFmtId="164" fontId="17" fillId="0" borderId="16" xfId="5" applyNumberFormat="1" applyFont="1" applyFill="1" applyBorder="1" applyAlignment="1"/>
    <xf numFmtId="0" fontId="17" fillId="0" borderId="16" xfId="5" applyFont="1" applyFill="1" applyBorder="1" applyAlignment="1"/>
    <xf numFmtId="164" fontId="17" fillId="26" borderId="16" xfId="5" applyNumberFormat="1" applyFont="1" applyFill="1" applyBorder="1" applyAlignment="1"/>
    <xf numFmtId="0" fontId="17" fillId="0" borderId="14" xfId="5" applyFont="1" applyFill="1" applyBorder="1" applyAlignment="1"/>
    <xf numFmtId="0" fontId="20" fillId="26" borderId="16" xfId="5" applyFont="1" applyFill="1" applyBorder="1" applyAlignment="1">
      <alignment horizontal="left"/>
    </xf>
    <xf numFmtId="164" fontId="54" fillId="26" borderId="16" xfId="5" applyNumberFormat="1" applyFont="1" applyFill="1" applyBorder="1" applyAlignment="1">
      <alignment horizontal="center"/>
    </xf>
    <xf numFmtId="165" fontId="66" fillId="0" borderId="14" xfId="5" applyNumberFormat="1" applyFont="1" applyBorder="1"/>
    <xf numFmtId="164" fontId="66" fillId="0" borderId="14" xfId="5" applyNumberFormat="1" applyFont="1"/>
    <xf numFmtId="165" fontId="66" fillId="0" borderId="14" xfId="5" applyNumberFormat="1" applyFont="1"/>
  </cellXfs>
  <cellStyles count="34">
    <cellStyle name="Įprastas" xfId="0" builtinId="0"/>
    <cellStyle name="Įprastas 10" xfId="12"/>
    <cellStyle name="Įprastas 11" xfId="15"/>
    <cellStyle name="Įprastas 12" xfId="16"/>
    <cellStyle name="Įprastas 12 2" xfId="17"/>
    <cellStyle name="Įprastas 13" xfId="18"/>
    <cellStyle name="Įprastas 14" xfId="19"/>
    <cellStyle name="Įprastas 15" xfId="20"/>
    <cellStyle name="Įprastas 16" xfId="22"/>
    <cellStyle name="Įprastas 17" xfId="25"/>
    <cellStyle name="Įprastas 18" xfId="27"/>
    <cellStyle name="Įprastas 19" xfId="29"/>
    <cellStyle name="Įprastas 2" xfId="3"/>
    <cellStyle name="Įprastas 2 2" xfId="4"/>
    <cellStyle name="Įprastas 2 2 2" xfId="26"/>
    <cellStyle name="Įprastas 2 2 3" xfId="28"/>
    <cellStyle name="Įprastas 2 3" xfId="13"/>
    <cellStyle name="Įprastas 20" xfId="31"/>
    <cellStyle name="Įprastas 3" xfId="2"/>
    <cellStyle name="Įprastas 4" xfId="5"/>
    <cellStyle name="Įprastas 4 2" xfId="30"/>
    <cellStyle name="Įprastas 4 2 2" xfId="33"/>
    <cellStyle name="Įprastas 5" xfId="7"/>
    <cellStyle name="Įprastas 6" xfId="8"/>
    <cellStyle name="Įprastas 7" xfId="9"/>
    <cellStyle name="Įprastas 7 2" xfId="23"/>
    <cellStyle name="Įprastas 7 2 2" xfId="24"/>
    <cellStyle name="Įprastas 8" xfId="1"/>
    <cellStyle name="Įprastas 9" xfId="10"/>
    <cellStyle name="Įprastas 9 3" xfId="11"/>
    <cellStyle name="Įprastas 9 3 2" xfId="21"/>
    <cellStyle name="Kablelis 2" xfId="6"/>
    <cellStyle name="Normal_biudz uz 2001 atskaitomybe3" xfId="14"/>
    <cellStyle name="Normal_Sheet1"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16"/>
  <sheetViews>
    <sheetView tabSelected="1" zoomScale="70" zoomScaleNormal="70" workbookViewId="0">
      <pane xSplit="8" ySplit="5" topLeftCell="I6" activePane="bottomRight" state="frozen"/>
      <selection pane="topRight" activeCell="I1" sqref="I1"/>
      <selection pane="bottomLeft" activeCell="A6" sqref="A6"/>
      <selection pane="bottomRight" activeCell="M28" sqref="M28"/>
    </sheetView>
  </sheetViews>
  <sheetFormatPr defaultColWidth="14.42578125" defaultRowHeight="15" customHeight="1"/>
  <cols>
    <col min="1" max="3" width="4.28515625" style="209" customWidth="1"/>
    <col min="4" max="4" width="5.85546875" style="209" customWidth="1"/>
    <col min="5" max="5" width="5" style="209" customWidth="1"/>
    <col min="6" max="6" width="34.85546875" style="209" customWidth="1"/>
    <col min="7" max="7" width="18.140625" style="209" customWidth="1"/>
    <col min="8" max="8" width="12.5703125" style="209" customWidth="1"/>
    <col min="9" max="9" width="18.85546875" style="209" bestFit="1" customWidth="1"/>
    <col min="10" max="10" width="16.85546875" style="209" bestFit="1" customWidth="1"/>
    <col min="11" max="14" width="15.7109375" style="209" customWidth="1"/>
    <col min="15" max="15" width="15.7109375" style="643" customWidth="1"/>
    <col min="16" max="21" width="15.7109375" style="209" customWidth="1"/>
    <col min="22" max="16384" width="14.42578125" style="209"/>
  </cols>
  <sheetData>
    <row r="1" spans="1:21" ht="15.75">
      <c r="A1" s="725"/>
      <c r="B1" s="726"/>
      <c r="C1" s="726"/>
      <c r="D1" s="726"/>
      <c r="E1" s="726"/>
      <c r="F1" s="726"/>
      <c r="G1" s="303"/>
      <c r="H1" s="303"/>
      <c r="I1" s="303"/>
      <c r="J1" s="303"/>
      <c r="K1" s="303"/>
      <c r="L1" s="303"/>
      <c r="M1" s="303"/>
      <c r="N1" s="303"/>
      <c r="O1" s="630"/>
      <c r="P1" s="303"/>
      <c r="Q1" s="303"/>
      <c r="R1" s="303"/>
      <c r="S1" s="303"/>
      <c r="T1" s="303"/>
      <c r="U1" s="303"/>
    </row>
    <row r="2" spans="1:21" ht="15.75">
      <c r="A2" s="302" t="s">
        <v>496</v>
      </c>
      <c r="B2" s="301"/>
      <c r="C2" s="301"/>
      <c r="D2" s="301"/>
      <c r="E2" s="301"/>
      <c r="F2" s="301"/>
      <c r="G2" s="301"/>
      <c r="H2" s="301"/>
      <c r="I2" s="301"/>
      <c r="J2" s="301"/>
      <c r="K2" s="301"/>
      <c r="L2" s="301"/>
      <c r="M2" s="301"/>
      <c r="N2" s="301"/>
      <c r="O2" s="631"/>
      <c r="P2" s="301"/>
      <c r="Q2" s="301"/>
      <c r="R2" s="301"/>
      <c r="S2" s="301"/>
      <c r="T2" s="737" t="s">
        <v>495</v>
      </c>
      <c r="U2" s="737"/>
    </row>
    <row r="3" spans="1:21" ht="15.75">
      <c r="A3" s="715" t="s">
        <v>0</v>
      </c>
      <c r="B3" s="727"/>
      <c r="C3" s="728"/>
      <c r="D3" s="729" t="s">
        <v>123</v>
      </c>
      <c r="E3" s="729" t="s">
        <v>124</v>
      </c>
      <c r="F3" s="730" t="s">
        <v>125</v>
      </c>
      <c r="G3" s="730" t="s">
        <v>126</v>
      </c>
      <c r="H3" s="715" t="s">
        <v>127</v>
      </c>
      <c r="I3" s="714" t="s">
        <v>128</v>
      </c>
      <c r="J3" s="644" t="s">
        <v>129</v>
      </c>
      <c r="K3" s="714" t="s">
        <v>130</v>
      </c>
      <c r="L3" s="714" t="s">
        <v>131</v>
      </c>
      <c r="M3" s="713"/>
      <c r="N3" s="713"/>
      <c r="O3" s="714" t="s">
        <v>132</v>
      </c>
      <c r="P3" s="714" t="s">
        <v>133</v>
      </c>
      <c r="Q3" s="714" t="s">
        <v>131</v>
      </c>
      <c r="R3" s="713"/>
      <c r="S3" s="714" t="s">
        <v>134</v>
      </c>
      <c r="T3" s="712" t="s">
        <v>131</v>
      </c>
      <c r="U3" s="713"/>
    </row>
    <row r="4" spans="1:21" ht="90" customHeight="1">
      <c r="A4" s="300" t="s">
        <v>1</v>
      </c>
      <c r="B4" s="300" t="s">
        <v>2</v>
      </c>
      <c r="C4" s="300" t="s">
        <v>3</v>
      </c>
      <c r="D4" s="699"/>
      <c r="E4" s="699"/>
      <c r="F4" s="699"/>
      <c r="G4" s="699"/>
      <c r="H4" s="716"/>
      <c r="I4" s="713"/>
      <c r="J4" s="644" t="s">
        <v>135</v>
      </c>
      <c r="K4" s="713"/>
      <c r="L4" s="644" t="s">
        <v>136</v>
      </c>
      <c r="M4" s="644" t="s">
        <v>137</v>
      </c>
      <c r="N4" s="644" t="s">
        <v>138</v>
      </c>
      <c r="O4" s="713"/>
      <c r="P4" s="713"/>
      <c r="Q4" s="644" t="s">
        <v>136</v>
      </c>
      <c r="R4" s="644" t="s">
        <v>137</v>
      </c>
      <c r="S4" s="713"/>
      <c r="T4" s="299" t="s">
        <v>136</v>
      </c>
      <c r="U4" s="299" t="s">
        <v>137</v>
      </c>
    </row>
    <row r="5" spans="1:21" ht="15.75">
      <c r="A5" s="298">
        <v>1</v>
      </c>
      <c r="B5" s="298">
        <v>2</v>
      </c>
      <c r="C5" s="298">
        <v>3</v>
      </c>
      <c r="D5" s="298">
        <v>4</v>
      </c>
      <c r="E5" s="298">
        <v>5</v>
      </c>
      <c r="F5" s="298">
        <v>6</v>
      </c>
      <c r="G5" s="298">
        <v>7</v>
      </c>
      <c r="H5" s="297">
        <v>8</v>
      </c>
      <c r="I5" s="645">
        <v>9</v>
      </c>
      <c r="J5" s="645">
        <v>10</v>
      </c>
      <c r="K5" s="645">
        <v>11</v>
      </c>
      <c r="L5" s="645">
        <v>12</v>
      </c>
      <c r="M5" s="645">
        <v>13</v>
      </c>
      <c r="N5" s="645">
        <v>14</v>
      </c>
      <c r="O5" s="646">
        <v>15</v>
      </c>
      <c r="P5" s="645">
        <v>16</v>
      </c>
      <c r="Q5" s="645">
        <v>17</v>
      </c>
      <c r="R5" s="645">
        <v>18</v>
      </c>
      <c r="S5" s="645">
        <v>19</v>
      </c>
      <c r="T5" s="645">
        <v>20</v>
      </c>
      <c r="U5" s="645">
        <v>21</v>
      </c>
    </row>
    <row r="6" spans="1:21" ht="31.5">
      <c r="A6" s="296" t="s">
        <v>4</v>
      </c>
      <c r="B6" s="295"/>
      <c r="C6" s="295"/>
      <c r="D6" s="295"/>
      <c r="E6" s="295"/>
      <c r="F6" s="294" t="s">
        <v>139</v>
      </c>
      <c r="G6" s="294"/>
      <c r="H6" s="293"/>
      <c r="I6" s="292"/>
      <c r="J6" s="292"/>
      <c r="K6" s="292"/>
      <c r="L6" s="292"/>
      <c r="M6" s="292"/>
      <c r="N6" s="292"/>
      <c r="O6" s="632"/>
      <c r="P6" s="292"/>
      <c r="Q6" s="292"/>
      <c r="R6" s="292"/>
      <c r="S6" s="292"/>
      <c r="T6" s="292"/>
      <c r="U6" s="292"/>
    </row>
    <row r="7" spans="1:21" ht="31.5">
      <c r="A7" s="275" t="s">
        <v>4</v>
      </c>
      <c r="B7" s="240" t="s">
        <v>4</v>
      </c>
      <c r="C7" s="291"/>
      <c r="D7" s="291" t="s">
        <v>5</v>
      </c>
      <c r="E7" s="291"/>
      <c r="F7" s="290" t="s">
        <v>140</v>
      </c>
      <c r="G7" s="290"/>
      <c r="H7" s="289"/>
      <c r="I7" s="288"/>
      <c r="J7" s="288"/>
      <c r="K7" s="288"/>
      <c r="L7" s="288"/>
      <c r="M7" s="288"/>
      <c r="N7" s="288"/>
      <c r="O7" s="633"/>
      <c r="P7" s="288"/>
      <c r="Q7" s="288"/>
      <c r="R7" s="288"/>
      <c r="S7" s="288"/>
      <c r="T7" s="288"/>
      <c r="U7" s="288"/>
    </row>
    <row r="8" spans="1:21" ht="63">
      <c r="A8" s="275" t="s">
        <v>4</v>
      </c>
      <c r="B8" s="274" t="s">
        <v>4</v>
      </c>
      <c r="C8" s="249" t="s">
        <v>6</v>
      </c>
      <c r="D8" s="249" t="s">
        <v>141</v>
      </c>
      <c r="E8" s="283"/>
      <c r="F8" s="272" t="s">
        <v>142</v>
      </c>
      <c r="G8" s="272"/>
      <c r="H8" s="271"/>
      <c r="I8" s="270"/>
      <c r="J8" s="270"/>
      <c r="K8" s="270"/>
      <c r="L8" s="270"/>
      <c r="M8" s="270"/>
      <c r="N8" s="270"/>
      <c r="O8" s="634"/>
      <c r="P8" s="270"/>
      <c r="Q8" s="270"/>
      <c r="R8" s="270"/>
      <c r="S8" s="270"/>
      <c r="T8" s="270"/>
      <c r="U8" s="270"/>
    </row>
    <row r="9" spans="1:21" ht="15.75">
      <c r="A9" s="717"/>
      <c r="B9" s="718"/>
      <c r="C9" s="700"/>
      <c r="D9" s="731"/>
      <c r="E9" s="732">
        <v>1</v>
      </c>
      <c r="F9" s="706" t="s">
        <v>143</v>
      </c>
      <c r="G9" s="703" t="s">
        <v>144</v>
      </c>
      <c r="H9" s="216" t="s">
        <v>145</v>
      </c>
      <c r="I9" s="254"/>
      <c r="J9" s="255"/>
      <c r="K9" s="254"/>
      <c r="L9" s="253"/>
      <c r="M9" s="253"/>
      <c r="N9" s="255"/>
      <c r="O9" s="635">
        <f t="shared" ref="O9:O14" si="0">I9+K9</f>
        <v>0</v>
      </c>
      <c r="P9" s="254"/>
      <c r="Q9" s="253"/>
      <c r="R9" s="253"/>
      <c r="S9" s="254"/>
      <c r="T9" s="253"/>
      <c r="U9" s="253"/>
    </row>
    <row r="10" spans="1:21" ht="15.75" customHeight="1">
      <c r="A10" s="698"/>
      <c r="B10" s="698"/>
      <c r="C10" s="698"/>
      <c r="D10" s="698"/>
      <c r="E10" s="698"/>
      <c r="F10" s="698"/>
      <c r="G10" s="707"/>
      <c r="H10" s="216" t="s">
        <v>146</v>
      </c>
      <c r="I10" s="254"/>
      <c r="J10" s="255"/>
      <c r="K10" s="254"/>
      <c r="L10" s="253"/>
      <c r="M10" s="253"/>
      <c r="N10" s="255"/>
      <c r="O10" s="635">
        <f t="shared" si="0"/>
        <v>0</v>
      </c>
      <c r="P10" s="254"/>
      <c r="Q10" s="253"/>
      <c r="R10" s="253"/>
      <c r="S10" s="254"/>
      <c r="T10" s="253"/>
      <c r="U10" s="253"/>
    </row>
    <row r="11" spans="1:21" ht="15.75">
      <c r="A11" s="698"/>
      <c r="B11" s="698"/>
      <c r="C11" s="698"/>
      <c r="D11" s="698"/>
      <c r="E11" s="698"/>
      <c r="F11" s="698"/>
      <c r="G11" s="707"/>
      <c r="H11" s="216" t="s">
        <v>147</v>
      </c>
      <c r="I11" s="254"/>
      <c r="J11" s="255"/>
      <c r="K11" s="254"/>
      <c r="L11" s="253"/>
      <c r="M11" s="253"/>
      <c r="N11" s="255"/>
      <c r="O11" s="635">
        <f t="shared" si="0"/>
        <v>0</v>
      </c>
      <c r="P11" s="254"/>
      <c r="Q11" s="253"/>
      <c r="R11" s="253"/>
      <c r="S11" s="254"/>
      <c r="T11" s="253"/>
      <c r="U11" s="253"/>
    </row>
    <row r="12" spans="1:21" ht="15.75">
      <c r="A12" s="698"/>
      <c r="B12" s="698"/>
      <c r="C12" s="698"/>
      <c r="D12" s="698"/>
      <c r="E12" s="698"/>
      <c r="F12" s="698"/>
      <c r="G12" s="707"/>
      <c r="H12" s="216" t="s">
        <v>148</v>
      </c>
      <c r="I12" s="254"/>
      <c r="J12" s="255"/>
      <c r="K12" s="254"/>
      <c r="L12" s="253"/>
      <c r="M12" s="253"/>
      <c r="N12" s="255"/>
      <c r="O12" s="635">
        <f t="shared" si="0"/>
        <v>0</v>
      </c>
      <c r="P12" s="254"/>
      <c r="Q12" s="253"/>
      <c r="R12" s="253"/>
      <c r="S12" s="254"/>
      <c r="T12" s="253"/>
      <c r="U12" s="253"/>
    </row>
    <row r="13" spans="1:21" ht="15.75">
      <c r="A13" s="698"/>
      <c r="B13" s="698"/>
      <c r="C13" s="698"/>
      <c r="D13" s="698"/>
      <c r="E13" s="698"/>
      <c r="F13" s="698"/>
      <c r="G13" s="707"/>
      <c r="H13" s="216" t="s">
        <v>5</v>
      </c>
      <c r="I13" s="254"/>
      <c r="J13" s="255"/>
      <c r="K13" s="254"/>
      <c r="L13" s="253"/>
      <c r="M13" s="253"/>
      <c r="N13" s="255"/>
      <c r="O13" s="635">
        <f t="shared" si="0"/>
        <v>0</v>
      </c>
      <c r="P13" s="254"/>
      <c r="Q13" s="253"/>
      <c r="R13" s="253"/>
      <c r="S13" s="254"/>
      <c r="T13" s="253"/>
      <c r="U13" s="253"/>
    </row>
    <row r="14" spans="1:21" ht="15.75">
      <c r="A14" s="698"/>
      <c r="B14" s="698"/>
      <c r="C14" s="698"/>
      <c r="D14" s="698"/>
      <c r="E14" s="698"/>
      <c r="F14" s="699"/>
      <c r="G14" s="708"/>
      <c r="H14" s="216" t="s">
        <v>149</v>
      </c>
      <c r="I14" s="254">
        <v>41.69</v>
      </c>
      <c r="J14" s="255">
        <v>41.05</v>
      </c>
      <c r="K14" s="254">
        <v>300</v>
      </c>
      <c r="L14" s="253"/>
      <c r="M14" s="253"/>
      <c r="N14" s="255"/>
      <c r="O14" s="635">
        <f t="shared" si="0"/>
        <v>341.69</v>
      </c>
      <c r="P14" s="254"/>
      <c r="Q14" s="253"/>
      <c r="R14" s="253"/>
      <c r="S14" s="254"/>
      <c r="T14" s="253"/>
      <c r="U14" s="253"/>
    </row>
    <row r="15" spans="1:21" ht="31.5">
      <c r="A15" s="698"/>
      <c r="B15" s="698"/>
      <c r="C15" s="698"/>
      <c r="D15" s="698"/>
      <c r="E15" s="699"/>
      <c r="F15" s="260" t="s">
        <v>150</v>
      </c>
      <c r="G15" s="259"/>
      <c r="H15" s="216" t="s">
        <v>8</v>
      </c>
      <c r="I15" s="264">
        <f t="shared" ref="I15:U15" si="1">SUM(I9:I14)</f>
        <v>41.69</v>
      </c>
      <c r="J15" s="264">
        <f t="shared" si="1"/>
        <v>41.05</v>
      </c>
      <c r="K15" s="264">
        <f t="shared" si="1"/>
        <v>300</v>
      </c>
      <c r="L15" s="264">
        <f t="shared" si="1"/>
        <v>0</v>
      </c>
      <c r="M15" s="264">
        <f t="shared" si="1"/>
        <v>0</v>
      </c>
      <c r="N15" s="264">
        <f t="shared" si="1"/>
        <v>0</v>
      </c>
      <c r="O15" s="636">
        <f t="shared" si="1"/>
        <v>341.69</v>
      </c>
      <c r="P15" s="264">
        <f t="shared" si="1"/>
        <v>0</v>
      </c>
      <c r="Q15" s="264">
        <f t="shared" si="1"/>
        <v>0</v>
      </c>
      <c r="R15" s="264">
        <f t="shared" si="1"/>
        <v>0</v>
      </c>
      <c r="S15" s="264">
        <f t="shared" si="1"/>
        <v>0</v>
      </c>
      <c r="T15" s="264">
        <f t="shared" si="1"/>
        <v>0</v>
      </c>
      <c r="U15" s="264">
        <f t="shared" si="1"/>
        <v>0</v>
      </c>
    </row>
    <row r="16" spans="1:21" ht="31.5">
      <c r="A16" s="698"/>
      <c r="B16" s="698"/>
      <c r="C16" s="698"/>
      <c r="D16" s="698"/>
      <c r="E16" s="249"/>
      <c r="F16" s="248"/>
      <c r="G16" s="247"/>
      <c r="H16" s="246" t="s">
        <v>151</v>
      </c>
      <c r="I16" s="245">
        <f t="shared" ref="I16:U16" si="2">I15</f>
        <v>41.69</v>
      </c>
      <c r="J16" s="245">
        <f t="shared" si="2"/>
        <v>41.05</v>
      </c>
      <c r="K16" s="245">
        <f t="shared" si="2"/>
        <v>300</v>
      </c>
      <c r="L16" s="245">
        <f t="shared" si="2"/>
        <v>0</v>
      </c>
      <c r="M16" s="245">
        <f t="shared" si="2"/>
        <v>0</v>
      </c>
      <c r="N16" s="245">
        <f t="shared" si="2"/>
        <v>0</v>
      </c>
      <c r="O16" s="627">
        <f t="shared" si="2"/>
        <v>341.69</v>
      </c>
      <c r="P16" s="245">
        <f t="shared" si="2"/>
        <v>0</v>
      </c>
      <c r="Q16" s="245">
        <f t="shared" si="2"/>
        <v>0</v>
      </c>
      <c r="R16" s="245">
        <f t="shared" si="2"/>
        <v>0</v>
      </c>
      <c r="S16" s="245">
        <f t="shared" si="2"/>
        <v>0</v>
      </c>
      <c r="T16" s="245">
        <f t="shared" si="2"/>
        <v>0</v>
      </c>
      <c r="U16" s="245">
        <f t="shared" si="2"/>
        <v>0</v>
      </c>
    </row>
    <row r="17" spans="1:21" ht="15.75">
      <c r="A17" s="698"/>
      <c r="B17" s="698"/>
      <c r="C17" s="698"/>
      <c r="D17" s="698"/>
      <c r="E17" s="285"/>
      <c r="F17" s="284" t="s">
        <v>152</v>
      </c>
      <c r="G17" s="243" t="s">
        <v>153</v>
      </c>
      <c r="H17" s="242" t="s">
        <v>145</v>
      </c>
      <c r="I17" s="637">
        <f t="shared" ref="I17:U17" si="3">I9</f>
        <v>0</v>
      </c>
      <c r="J17" s="637">
        <f t="shared" si="3"/>
        <v>0</v>
      </c>
      <c r="K17" s="637">
        <f t="shared" si="3"/>
        <v>0</v>
      </c>
      <c r="L17" s="637">
        <f t="shared" si="3"/>
        <v>0</v>
      </c>
      <c r="M17" s="637">
        <f t="shared" si="3"/>
        <v>0</v>
      </c>
      <c r="N17" s="637">
        <f t="shared" si="3"/>
        <v>0</v>
      </c>
      <c r="O17" s="637">
        <f t="shared" si="3"/>
        <v>0</v>
      </c>
      <c r="P17" s="637">
        <f t="shared" si="3"/>
        <v>0</v>
      </c>
      <c r="Q17" s="637">
        <f t="shared" si="3"/>
        <v>0</v>
      </c>
      <c r="R17" s="637">
        <f t="shared" si="3"/>
        <v>0</v>
      </c>
      <c r="S17" s="637">
        <f t="shared" si="3"/>
        <v>0</v>
      </c>
      <c r="T17" s="637">
        <f t="shared" si="3"/>
        <v>0</v>
      </c>
      <c r="U17" s="637">
        <f t="shared" si="3"/>
        <v>0</v>
      </c>
    </row>
    <row r="18" spans="1:21" ht="15.75">
      <c r="A18" s="698"/>
      <c r="B18" s="698"/>
      <c r="C18" s="698"/>
      <c r="D18" s="698"/>
      <c r="E18" s="285"/>
      <c r="F18" s="284" t="s">
        <v>154</v>
      </c>
      <c r="G18" s="243" t="s">
        <v>153</v>
      </c>
      <c r="H18" s="242" t="s">
        <v>146</v>
      </c>
      <c r="I18" s="637">
        <f t="shared" ref="I18:U18" si="4">I10</f>
        <v>0</v>
      </c>
      <c r="J18" s="637">
        <f t="shared" si="4"/>
        <v>0</v>
      </c>
      <c r="K18" s="637">
        <f t="shared" si="4"/>
        <v>0</v>
      </c>
      <c r="L18" s="637">
        <f t="shared" si="4"/>
        <v>0</v>
      </c>
      <c r="M18" s="637">
        <f t="shared" si="4"/>
        <v>0</v>
      </c>
      <c r="N18" s="637">
        <f t="shared" si="4"/>
        <v>0</v>
      </c>
      <c r="O18" s="637">
        <f t="shared" si="4"/>
        <v>0</v>
      </c>
      <c r="P18" s="637">
        <f t="shared" si="4"/>
        <v>0</v>
      </c>
      <c r="Q18" s="637">
        <f t="shared" si="4"/>
        <v>0</v>
      </c>
      <c r="R18" s="637">
        <f t="shared" si="4"/>
        <v>0</v>
      </c>
      <c r="S18" s="637">
        <f t="shared" si="4"/>
        <v>0</v>
      </c>
      <c r="T18" s="637">
        <f t="shared" si="4"/>
        <v>0</v>
      </c>
      <c r="U18" s="637">
        <f t="shared" si="4"/>
        <v>0</v>
      </c>
    </row>
    <row r="19" spans="1:21" ht="15.75">
      <c r="A19" s="698"/>
      <c r="B19" s="698"/>
      <c r="C19" s="698"/>
      <c r="D19" s="698"/>
      <c r="E19" s="285"/>
      <c r="F19" s="284" t="s">
        <v>155</v>
      </c>
      <c r="G19" s="243" t="s">
        <v>153</v>
      </c>
      <c r="H19" s="242" t="s">
        <v>147</v>
      </c>
      <c r="I19" s="637">
        <f t="shared" ref="I19:U19" si="5">I11</f>
        <v>0</v>
      </c>
      <c r="J19" s="637">
        <f t="shared" si="5"/>
        <v>0</v>
      </c>
      <c r="K19" s="637">
        <f t="shared" si="5"/>
        <v>0</v>
      </c>
      <c r="L19" s="637">
        <f t="shared" si="5"/>
        <v>0</v>
      </c>
      <c r="M19" s="637">
        <f t="shared" si="5"/>
        <v>0</v>
      </c>
      <c r="N19" s="637">
        <f t="shared" si="5"/>
        <v>0</v>
      </c>
      <c r="O19" s="637">
        <f t="shared" si="5"/>
        <v>0</v>
      </c>
      <c r="P19" s="637">
        <f t="shared" si="5"/>
        <v>0</v>
      </c>
      <c r="Q19" s="637">
        <f t="shared" si="5"/>
        <v>0</v>
      </c>
      <c r="R19" s="637">
        <f t="shared" si="5"/>
        <v>0</v>
      </c>
      <c r="S19" s="637">
        <f t="shared" si="5"/>
        <v>0</v>
      </c>
      <c r="T19" s="637">
        <f t="shared" si="5"/>
        <v>0</v>
      </c>
      <c r="U19" s="637">
        <f t="shared" si="5"/>
        <v>0</v>
      </c>
    </row>
    <row r="20" spans="1:21" ht="31.5">
      <c r="A20" s="698"/>
      <c r="B20" s="698"/>
      <c r="C20" s="698"/>
      <c r="D20" s="698"/>
      <c r="E20" s="285"/>
      <c r="F20" s="284" t="s">
        <v>156</v>
      </c>
      <c r="G20" s="243" t="s">
        <v>153</v>
      </c>
      <c r="H20" s="242" t="s">
        <v>148</v>
      </c>
      <c r="I20" s="637">
        <f t="shared" ref="I20:U20" si="6">I12</f>
        <v>0</v>
      </c>
      <c r="J20" s="637">
        <f t="shared" si="6"/>
        <v>0</v>
      </c>
      <c r="K20" s="637">
        <f t="shared" si="6"/>
        <v>0</v>
      </c>
      <c r="L20" s="637">
        <f t="shared" si="6"/>
        <v>0</v>
      </c>
      <c r="M20" s="637">
        <f t="shared" si="6"/>
        <v>0</v>
      </c>
      <c r="N20" s="637">
        <f t="shared" si="6"/>
        <v>0</v>
      </c>
      <c r="O20" s="637">
        <f t="shared" si="6"/>
        <v>0</v>
      </c>
      <c r="P20" s="637">
        <f t="shared" si="6"/>
        <v>0</v>
      </c>
      <c r="Q20" s="637">
        <f t="shared" si="6"/>
        <v>0</v>
      </c>
      <c r="R20" s="637">
        <f t="shared" si="6"/>
        <v>0</v>
      </c>
      <c r="S20" s="637">
        <f t="shared" si="6"/>
        <v>0</v>
      </c>
      <c r="T20" s="637">
        <f t="shared" si="6"/>
        <v>0</v>
      </c>
      <c r="U20" s="637">
        <f t="shared" si="6"/>
        <v>0</v>
      </c>
    </row>
    <row r="21" spans="1:21" ht="15.75">
      <c r="A21" s="698"/>
      <c r="B21" s="698"/>
      <c r="C21" s="698"/>
      <c r="D21" s="698"/>
      <c r="E21" s="285"/>
      <c r="F21" s="284" t="s">
        <v>157</v>
      </c>
      <c r="G21" s="243" t="s">
        <v>153</v>
      </c>
      <c r="H21" s="242" t="s">
        <v>5</v>
      </c>
      <c r="I21" s="637">
        <f t="shared" ref="I21:U21" si="7">I13</f>
        <v>0</v>
      </c>
      <c r="J21" s="637">
        <f t="shared" si="7"/>
        <v>0</v>
      </c>
      <c r="K21" s="637">
        <f t="shared" si="7"/>
        <v>0</v>
      </c>
      <c r="L21" s="637">
        <f t="shared" si="7"/>
        <v>0</v>
      </c>
      <c r="M21" s="637">
        <f t="shared" si="7"/>
        <v>0</v>
      </c>
      <c r="N21" s="637">
        <f t="shared" si="7"/>
        <v>0</v>
      </c>
      <c r="O21" s="637">
        <f t="shared" si="7"/>
        <v>0</v>
      </c>
      <c r="P21" s="637">
        <f t="shared" si="7"/>
        <v>0</v>
      </c>
      <c r="Q21" s="637">
        <f t="shared" si="7"/>
        <v>0</v>
      </c>
      <c r="R21" s="637">
        <f t="shared" si="7"/>
        <v>0</v>
      </c>
      <c r="S21" s="637">
        <f t="shared" si="7"/>
        <v>0</v>
      </c>
      <c r="T21" s="637">
        <f t="shared" si="7"/>
        <v>0</v>
      </c>
      <c r="U21" s="637">
        <f t="shared" si="7"/>
        <v>0</v>
      </c>
    </row>
    <row r="22" spans="1:21" ht="15.75">
      <c r="A22" s="699"/>
      <c r="B22" s="699"/>
      <c r="C22" s="699"/>
      <c r="D22" s="699"/>
      <c r="E22" s="285"/>
      <c r="F22" s="284" t="s">
        <v>158</v>
      </c>
      <c r="G22" s="243" t="s">
        <v>153</v>
      </c>
      <c r="H22" s="242" t="s">
        <v>149</v>
      </c>
      <c r="I22" s="637">
        <f t="shared" ref="I22:U22" si="8">I14</f>
        <v>41.69</v>
      </c>
      <c r="J22" s="637">
        <f t="shared" si="8"/>
        <v>41.05</v>
      </c>
      <c r="K22" s="637">
        <f t="shared" si="8"/>
        <v>300</v>
      </c>
      <c r="L22" s="637">
        <f t="shared" si="8"/>
        <v>0</v>
      </c>
      <c r="M22" s="637">
        <f t="shared" si="8"/>
        <v>0</v>
      </c>
      <c r="N22" s="637">
        <f t="shared" si="8"/>
        <v>0</v>
      </c>
      <c r="O22" s="637">
        <f t="shared" si="8"/>
        <v>341.69</v>
      </c>
      <c r="P22" s="637">
        <f t="shared" si="8"/>
        <v>0</v>
      </c>
      <c r="Q22" s="637">
        <f t="shared" si="8"/>
        <v>0</v>
      </c>
      <c r="R22" s="637">
        <f t="shared" si="8"/>
        <v>0</v>
      </c>
      <c r="S22" s="637">
        <f t="shared" si="8"/>
        <v>0</v>
      </c>
      <c r="T22" s="637">
        <f t="shared" si="8"/>
        <v>0</v>
      </c>
      <c r="U22" s="637">
        <f t="shared" si="8"/>
        <v>0</v>
      </c>
    </row>
    <row r="23" spans="1:21" ht="47.25">
      <c r="A23" s="275" t="s">
        <v>4</v>
      </c>
      <c r="B23" s="274" t="s">
        <v>4</v>
      </c>
      <c r="C23" s="249" t="s">
        <v>9</v>
      </c>
      <c r="D23" s="249" t="s">
        <v>159</v>
      </c>
      <c r="E23" s="283"/>
      <c r="F23" s="272" t="s">
        <v>160</v>
      </c>
      <c r="G23" s="272"/>
      <c r="H23" s="271"/>
      <c r="I23" s="270"/>
      <c r="J23" s="270"/>
      <c r="K23" s="270"/>
      <c r="L23" s="270"/>
      <c r="M23" s="270"/>
      <c r="N23" s="270"/>
      <c r="O23" s="634"/>
      <c r="P23" s="270"/>
      <c r="Q23" s="270"/>
      <c r="R23" s="270"/>
      <c r="S23" s="270"/>
      <c r="T23" s="270"/>
      <c r="U23" s="270"/>
    </row>
    <row r="24" spans="1:21" ht="15.75">
      <c r="A24" s="717"/>
      <c r="B24" s="718"/>
      <c r="C24" s="731"/>
      <c r="D24" s="731"/>
      <c r="E24" s="700" t="s">
        <v>7</v>
      </c>
      <c r="F24" s="720" t="s">
        <v>161</v>
      </c>
      <c r="G24" s="697">
        <v>188714469</v>
      </c>
      <c r="H24" s="216" t="s">
        <v>145</v>
      </c>
      <c r="I24" s="254">
        <v>263.2</v>
      </c>
      <c r="J24" s="255"/>
      <c r="K24" s="254"/>
      <c r="L24" s="253"/>
      <c r="M24" s="253"/>
      <c r="N24" s="255"/>
      <c r="O24" s="635">
        <f t="shared" ref="O24:O29" si="9">I24+K24</f>
        <v>263.2</v>
      </c>
      <c r="P24" s="254"/>
      <c r="Q24" s="253"/>
      <c r="R24" s="253"/>
      <c r="S24" s="254"/>
      <c r="T24" s="253"/>
      <c r="U24" s="253"/>
    </row>
    <row r="25" spans="1:21" ht="15.75" customHeight="1">
      <c r="A25" s="698"/>
      <c r="B25" s="698"/>
      <c r="C25" s="698"/>
      <c r="D25" s="698"/>
      <c r="E25" s="698"/>
      <c r="F25" s="698"/>
      <c r="G25" s="698"/>
      <c r="H25" s="216" t="s">
        <v>146</v>
      </c>
      <c r="I25" s="254"/>
      <c r="J25" s="255"/>
      <c r="K25" s="254"/>
      <c r="L25" s="253"/>
      <c r="M25" s="253"/>
      <c r="N25" s="255"/>
      <c r="O25" s="635">
        <f t="shared" si="9"/>
        <v>0</v>
      </c>
      <c r="P25" s="254"/>
      <c r="Q25" s="253"/>
      <c r="R25" s="253"/>
      <c r="S25" s="254"/>
      <c r="T25" s="253"/>
      <c r="U25" s="253"/>
    </row>
    <row r="26" spans="1:21" ht="15.75">
      <c r="A26" s="698"/>
      <c r="B26" s="698"/>
      <c r="C26" s="698"/>
      <c r="D26" s="698"/>
      <c r="E26" s="698"/>
      <c r="F26" s="698"/>
      <c r="G26" s="698"/>
      <c r="H26" s="216" t="s">
        <v>147</v>
      </c>
      <c r="I26" s="254"/>
      <c r="J26" s="255"/>
      <c r="K26" s="254"/>
      <c r="L26" s="253"/>
      <c r="M26" s="253"/>
      <c r="N26" s="255"/>
      <c r="O26" s="635">
        <f t="shared" si="9"/>
        <v>0</v>
      </c>
      <c r="P26" s="254"/>
      <c r="Q26" s="253"/>
      <c r="R26" s="253"/>
      <c r="S26" s="254"/>
      <c r="T26" s="253"/>
      <c r="U26" s="253"/>
    </row>
    <row r="27" spans="1:21" ht="15.75">
      <c r="A27" s="698"/>
      <c r="B27" s="698"/>
      <c r="C27" s="698"/>
      <c r="D27" s="698"/>
      <c r="E27" s="698"/>
      <c r="F27" s="698"/>
      <c r="G27" s="698"/>
      <c r="H27" s="216" t="s">
        <v>148</v>
      </c>
      <c r="I27" s="254"/>
      <c r="J27" s="255"/>
      <c r="K27" s="254"/>
      <c r="L27" s="253"/>
      <c r="M27" s="253"/>
      <c r="N27" s="255"/>
      <c r="O27" s="635">
        <f t="shared" si="9"/>
        <v>0</v>
      </c>
      <c r="P27" s="254"/>
      <c r="Q27" s="253"/>
      <c r="R27" s="253"/>
      <c r="S27" s="254"/>
      <c r="T27" s="253"/>
      <c r="U27" s="253"/>
    </row>
    <row r="28" spans="1:21" ht="15.75">
      <c r="A28" s="698"/>
      <c r="B28" s="698"/>
      <c r="C28" s="698"/>
      <c r="D28" s="698"/>
      <c r="E28" s="698"/>
      <c r="F28" s="698"/>
      <c r="G28" s="698"/>
      <c r="H28" s="216" t="s">
        <v>5</v>
      </c>
      <c r="I28" s="254"/>
      <c r="J28" s="255"/>
      <c r="K28" s="256">
        <v>966.8</v>
      </c>
      <c r="L28" s="253"/>
      <c r="M28" s="257">
        <v>966.8</v>
      </c>
      <c r="N28" s="255"/>
      <c r="O28" s="635">
        <f t="shared" si="9"/>
        <v>966.8</v>
      </c>
      <c r="P28" s="254"/>
      <c r="Q28" s="253"/>
      <c r="R28" s="253"/>
      <c r="S28" s="254"/>
      <c r="T28" s="253"/>
      <c r="U28" s="253"/>
    </row>
    <row r="29" spans="1:21" ht="15.75">
      <c r="A29" s="698"/>
      <c r="B29" s="698"/>
      <c r="C29" s="698"/>
      <c r="D29" s="698"/>
      <c r="E29" s="698"/>
      <c r="F29" s="699"/>
      <c r="G29" s="699"/>
      <c r="H29" s="216" t="s">
        <v>149</v>
      </c>
      <c r="I29" s="254"/>
      <c r="J29" s="255"/>
      <c r="K29" s="254"/>
      <c r="L29" s="253"/>
      <c r="M29" s="253"/>
      <c r="N29" s="255"/>
      <c r="O29" s="635">
        <f t="shared" si="9"/>
        <v>0</v>
      </c>
      <c r="P29" s="254"/>
      <c r="Q29" s="253"/>
      <c r="R29" s="253"/>
      <c r="S29" s="254"/>
      <c r="T29" s="253"/>
      <c r="U29" s="253"/>
    </row>
    <row r="30" spans="1:21" ht="31.5">
      <c r="A30" s="698"/>
      <c r="B30" s="698"/>
      <c r="C30" s="698"/>
      <c r="D30" s="698"/>
      <c r="E30" s="699"/>
      <c r="F30" s="265" t="s">
        <v>162</v>
      </c>
      <c r="G30" s="259"/>
      <c r="H30" s="216" t="s">
        <v>8</v>
      </c>
      <c r="I30" s="264">
        <f t="shared" ref="I30:U30" si="10">SUM(I24:I29)</f>
        <v>263.2</v>
      </c>
      <c r="J30" s="264">
        <f t="shared" si="10"/>
        <v>0</v>
      </c>
      <c r="K30" s="264">
        <f t="shared" si="10"/>
        <v>966.8</v>
      </c>
      <c r="L30" s="264">
        <f t="shared" si="10"/>
        <v>0</v>
      </c>
      <c r="M30" s="264">
        <f t="shared" si="10"/>
        <v>966.8</v>
      </c>
      <c r="N30" s="264">
        <f t="shared" si="10"/>
        <v>0</v>
      </c>
      <c r="O30" s="636">
        <f t="shared" si="10"/>
        <v>1230</v>
      </c>
      <c r="P30" s="264">
        <f t="shared" si="10"/>
        <v>0</v>
      </c>
      <c r="Q30" s="264">
        <f t="shared" si="10"/>
        <v>0</v>
      </c>
      <c r="R30" s="264">
        <f t="shared" si="10"/>
        <v>0</v>
      </c>
      <c r="S30" s="264">
        <f t="shared" si="10"/>
        <v>0</v>
      </c>
      <c r="T30" s="264">
        <f t="shared" si="10"/>
        <v>0</v>
      </c>
      <c r="U30" s="264">
        <f t="shared" si="10"/>
        <v>0</v>
      </c>
    </row>
    <row r="31" spans="1:21" ht="15.75">
      <c r="A31" s="698"/>
      <c r="B31" s="698"/>
      <c r="C31" s="698"/>
      <c r="D31" s="698"/>
      <c r="E31" s="700" t="s">
        <v>10</v>
      </c>
      <c r="F31" s="720" t="s">
        <v>163</v>
      </c>
      <c r="G31" s="697">
        <v>188714469</v>
      </c>
      <c r="H31" s="216" t="s">
        <v>145</v>
      </c>
      <c r="I31" s="254"/>
      <c r="J31" s="255"/>
      <c r="K31" s="254">
        <v>33.299999999999997</v>
      </c>
      <c r="L31" s="253"/>
      <c r="M31" s="253"/>
      <c r="N31" s="255"/>
      <c r="O31" s="635">
        <f t="shared" ref="O31:O36" si="11">I31+K31</f>
        <v>33.299999999999997</v>
      </c>
      <c r="P31" s="254"/>
      <c r="Q31" s="253"/>
      <c r="R31" s="253"/>
      <c r="S31" s="254"/>
      <c r="T31" s="253"/>
      <c r="U31" s="253"/>
    </row>
    <row r="32" spans="1:21" ht="15.75">
      <c r="A32" s="698"/>
      <c r="B32" s="698"/>
      <c r="C32" s="698"/>
      <c r="D32" s="698"/>
      <c r="E32" s="698"/>
      <c r="F32" s="698"/>
      <c r="G32" s="698"/>
      <c r="H32" s="216" t="s">
        <v>146</v>
      </c>
      <c r="I32" s="254"/>
      <c r="J32" s="255"/>
      <c r="K32" s="254"/>
      <c r="L32" s="253"/>
      <c r="M32" s="253"/>
      <c r="N32" s="255"/>
      <c r="O32" s="635">
        <f t="shared" si="11"/>
        <v>0</v>
      </c>
      <c r="P32" s="254"/>
      <c r="Q32" s="253"/>
      <c r="R32" s="253"/>
      <c r="S32" s="254"/>
      <c r="T32" s="253"/>
      <c r="U32" s="253"/>
    </row>
    <row r="33" spans="1:21" ht="15.75">
      <c r="A33" s="698"/>
      <c r="B33" s="698"/>
      <c r="C33" s="698"/>
      <c r="D33" s="698"/>
      <c r="E33" s="698"/>
      <c r="F33" s="698"/>
      <c r="G33" s="698"/>
      <c r="H33" s="216" t="s">
        <v>147</v>
      </c>
      <c r="I33" s="254"/>
      <c r="J33" s="255"/>
      <c r="K33" s="254"/>
      <c r="L33" s="253"/>
      <c r="M33" s="253"/>
      <c r="N33" s="255"/>
      <c r="O33" s="635">
        <f t="shared" si="11"/>
        <v>0</v>
      </c>
      <c r="P33" s="254"/>
      <c r="Q33" s="253"/>
      <c r="R33" s="253"/>
      <c r="S33" s="254"/>
      <c r="T33" s="253"/>
      <c r="U33" s="253"/>
    </row>
    <row r="34" spans="1:21" ht="15.75">
      <c r="A34" s="698"/>
      <c r="B34" s="698"/>
      <c r="C34" s="698"/>
      <c r="D34" s="698"/>
      <c r="E34" s="698"/>
      <c r="F34" s="698"/>
      <c r="G34" s="698"/>
      <c r="H34" s="216" t="s">
        <v>148</v>
      </c>
      <c r="I34" s="254"/>
      <c r="J34" s="255"/>
      <c r="K34" s="254"/>
      <c r="L34" s="253"/>
      <c r="M34" s="253"/>
      <c r="N34" s="255"/>
      <c r="O34" s="635">
        <f t="shared" si="11"/>
        <v>0</v>
      </c>
      <c r="P34" s="254"/>
      <c r="Q34" s="253"/>
      <c r="R34" s="253"/>
      <c r="S34" s="254"/>
      <c r="T34" s="253"/>
      <c r="U34" s="253"/>
    </row>
    <row r="35" spans="1:21" ht="15.75">
      <c r="A35" s="698"/>
      <c r="B35" s="698"/>
      <c r="C35" s="698"/>
      <c r="D35" s="698"/>
      <c r="E35" s="698"/>
      <c r="F35" s="698"/>
      <c r="G35" s="698"/>
      <c r="H35" s="216" t="s">
        <v>5</v>
      </c>
      <c r="I35" s="254"/>
      <c r="J35" s="255"/>
      <c r="K35" s="254"/>
      <c r="L35" s="253"/>
      <c r="M35" s="253"/>
      <c r="N35" s="255"/>
      <c r="O35" s="635">
        <f t="shared" si="11"/>
        <v>0</v>
      </c>
      <c r="P35" s="254"/>
      <c r="Q35" s="253"/>
      <c r="R35" s="253"/>
      <c r="S35" s="254"/>
      <c r="T35" s="253"/>
      <c r="U35" s="253"/>
    </row>
    <row r="36" spans="1:21" ht="15.75">
      <c r="A36" s="698"/>
      <c r="B36" s="698"/>
      <c r="C36" s="698"/>
      <c r="D36" s="698"/>
      <c r="E36" s="698"/>
      <c r="F36" s="699"/>
      <c r="G36" s="699"/>
      <c r="H36" s="216" t="s">
        <v>149</v>
      </c>
      <c r="I36" s="254"/>
      <c r="J36" s="255"/>
      <c r="K36" s="254"/>
      <c r="L36" s="253"/>
      <c r="M36" s="253"/>
      <c r="N36" s="255"/>
      <c r="O36" s="635">
        <f t="shared" si="11"/>
        <v>0</v>
      </c>
      <c r="P36" s="254"/>
      <c r="Q36" s="253"/>
      <c r="R36" s="253"/>
      <c r="S36" s="254"/>
      <c r="T36" s="253"/>
      <c r="U36" s="253"/>
    </row>
    <row r="37" spans="1:21" ht="31.5">
      <c r="A37" s="698"/>
      <c r="B37" s="698"/>
      <c r="C37" s="698"/>
      <c r="D37" s="698"/>
      <c r="E37" s="699"/>
      <c r="F37" s="265" t="s">
        <v>164</v>
      </c>
      <c r="G37" s="259"/>
      <c r="H37" s="216" t="s">
        <v>8</v>
      </c>
      <c r="I37" s="264">
        <f t="shared" ref="I37:U37" si="12">SUM(I31:I36)</f>
        <v>0</v>
      </c>
      <c r="J37" s="264">
        <f t="shared" si="12"/>
        <v>0</v>
      </c>
      <c r="K37" s="264">
        <f t="shared" si="12"/>
        <v>33.299999999999997</v>
      </c>
      <c r="L37" s="264">
        <f t="shared" si="12"/>
        <v>0</v>
      </c>
      <c r="M37" s="264">
        <f t="shared" si="12"/>
        <v>0</v>
      </c>
      <c r="N37" s="264">
        <f t="shared" si="12"/>
        <v>0</v>
      </c>
      <c r="O37" s="636">
        <f t="shared" si="12"/>
        <v>33.299999999999997</v>
      </c>
      <c r="P37" s="264">
        <f t="shared" si="12"/>
        <v>0</v>
      </c>
      <c r="Q37" s="264">
        <f t="shared" si="12"/>
        <v>0</v>
      </c>
      <c r="R37" s="264">
        <f t="shared" si="12"/>
        <v>0</v>
      </c>
      <c r="S37" s="264">
        <f t="shared" si="12"/>
        <v>0</v>
      </c>
      <c r="T37" s="264">
        <f t="shared" si="12"/>
        <v>0</v>
      </c>
      <c r="U37" s="264">
        <f t="shared" si="12"/>
        <v>0</v>
      </c>
    </row>
    <row r="38" spans="1:21" ht="31.5">
      <c r="A38" s="698"/>
      <c r="B38" s="698"/>
      <c r="C38" s="698"/>
      <c r="D38" s="698"/>
      <c r="E38" s="249"/>
      <c r="F38" s="248"/>
      <c r="G38" s="287"/>
      <c r="H38" s="286" t="s">
        <v>151</v>
      </c>
      <c r="I38" s="245">
        <f t="shared" ref="I38:U38" si="13">I30+I37</f>
        <v>263.2</v>
      </c>
      <c r="J38" s="245">
        <f t="shared" si="13"/>
        <v>0</v>
      </c>
      <c r="K38" s="245">
        <f t="shared" si="13"/>
        <v>1000.0999999999999</v>
      </c>
      <c r="L38" s="245">
        <f t="shared" si="13"/>
        <v>0</v>
      </c>
      <c r="M38" s="245">
        <f t="shared" si="13"/>
        <v>966.8</v>
      </c>
      <c r="N38" s="245">
        <f t="shared" si="13"/>
        <v>0</v>
      </c>
      <c r="O38" s="627">
        <f t="shared" si="13"/>
        <v>1263.3</v>
      </c>
      <c r="P38" s="245">
        <f t="shared" si="13"/>
        <v>0</v>
      </c>
      <c r="Q38" s="245">
        <f t="shared" si="13"/>
        <v>0</v>
      </c>
      <c r="R38" s="245">
        <f t="shared" si="13"/>
        <v>0</v>
      </c>
      <c r="S38" s="245">
        <f t="shared" si="13"/>
        <v>0</v>
      </c>
      <c r="T38" s="245">
        <f t="shared" si="13"/>
        <v>0</v>
      </c>
      <c r="U38" s="245">
        <f t="shared" si="13"/>
        <v>0</v>
      </c>
    </row>
    <row r="39" spans="1:21" ht="15.75">
      <c r="A39" s="698"/>
      <c r="B39" s="698"/>
      <c r="C39" s="698"/>
      <c r="D39" s="698"/>
      <c r="E39" s="285"/>
      <c r="F39" s="284" t="s">
        <v>152</v>
      </c>
      <c r="G39" s="243" t="s">
        <v>153</v>
      </c>
      <c r="H39" s="242" t="s">
        <v>145</v>
      </c>
      <c r="I39" s="637">
        <f t="shared" ref="I39:U39" si="14">I24+I31</f>
        <v>263.2</v>
      </c>
      <c r="J39" s="637">
        <f t="shared" si="14"/>
        <v>0</v>
      </c>
      <c r="K39" s="637">
        <f t="shared" si="14"/>
        <v>33.299999999999997</v>
      </c>
      <c r="L39" s="637">
        <f t="shared" si="14"/>
        <v>0</v>
      </c>
      <c r="M39" s="637">
        <f t="shared" si="14"/>
        <v>0</v>
      </c>
      <c r="N39" s="637">
        <f t="shared" si="14"/>
        <v>0</v>
      </c>
      <c r="O39" s="637">
        <f t="shared" si="14"/>
        <v>296.5</v>
      </c>
      <c r="P39" s="637">
        <f t="shared" si="14"/>
        <v>0</v>
      </c>
      <c r="Q39" s="637">
        <f t="shared" si="14"/>
        <v>0</v>
      </c>
      <c r="R39" s="637">
        <f t="shared" si="14"/>
        <v>0</v>
      </c>
      <c r="S39" s="637">
        <f t="shared" si="14"/>
        <v>0</v>
      </c>
      <c r="T39" s="637">
        <f t="shared" si="14"/>
        <v>0</v>
      </c>
      <c r="U39" s="637">
        <f t="shared" si="14"/>
        <v>0</v>
      </c>
    </row>
    <row r="40" spans="1:21" ht="15.75">
      <c r="A40" s="698"/>
      <c r="B40" s="698"/>
      <c r="C40" s="698"/>
      <c r="D40" s="698"/>
      <c r="E40" s="285"/>
      <c r="F40" s="284" t="s">
        <v>154</v>
      </c>
      <c r="G40" s="243" t="s">
        <v>153</v>
      </c>
      <c r="H40" s="242" t="s">
        <v>146</v>
      </c>
      <c r="I40" s="637">
        <f t="shared" ref="I40:U40" si="15">I25+I32</f>
        <v>0</v>
      </c>
      <c r="J40" s="637">
        <f t="shared" si="15"/>
        <v>0</v>
      </c>
      <c r="K40" s="637">
        <f t="shared" si="15"/>
        <v>0</v>
      </c>
      <c r="L40" s="637">
        <f t="shared" si="15"/>
        <v>0</v>
      </c>
      <c r="M40" s="637">
        <f t="shared" si="15"/>
        <v>0</v>
      </c>
      <c r="N40" s="637">
        <f t="shared" si="15"/>
        <v>0</v>
      </c>
      <c r="O40" s="637">
        <f t="shared" si="15"/>
        <v>0</v>
      </c>
      <c r="P40" s="637">
        <f t="shared" si="15"/>
        <v>0</v>
      </c>
      <c r="Q40" s="637">
        <f t="shared" si="15"/>
        <v>0</v>
      </c>
      <c r="R40" s="637">
        <f t="shared" si="15"/>
        <v>0</v>
      </c>
      <c r="S40" s="637">
        <f t="shared" si="15"/>
        <v>0</v>
      </c>
      <c r="T40" s="637">
        <f t="shared" si="15"/>
        <v>0</v>
      </c>
      <c r="U40" s="637">
        <f t="shared" si="15"/>
        <v>0</v>
      </c>
    </row>
    <row r="41" spans="1:21" ht="15.75">
      <c r="A41" s="698"/>
      <c r="B41" s="698"/>
      <c r="C41" s="698"/>
      <c r="D41" s="698"/>
      <c r="E41" s="285"/>
      <c r="F41" s="284" t="s">
        <v>155</v>
      </c>
      <c r="G41" s="243" t="s">
        <v>153</v>
      </c>
      <c r="H41" s="242" t="s">
        <v>147</v>
      </c>
      <c r="I41" s="637">
        <f t="shared" ref="I41:U41" si="16">I26+I33</f>
        <v>0</v>
      </c>
      <c r="J41" s="637">
        <f t="shared" si="16"/>
        <v>0</v>
      </c>
      <c r="K41" s="637">
        <f t="shared" si="16"/>
        <v>0</v>
      </c>
      <c r="L41" s="637">
        <f t="shared" si="16"/>
        <v>0</v>
      </c>
      <c r="M41" s="637">
        <f t="shared" si="16"/>
        <v>0</v>
      </c>
      <c r="N41" s="637">
        <f t="shared" si="16"/>
        <v>0</v>
      </c>
      <c r="O41" s="637">
        <f t="shared" si="16"/>
        <v>0</v>
      </c>
      <c r="P41" s="637">
        <f t="shared" si="16"/>
        <v>0</v>
      </c>
      <c r="Q41" s="637">
        <f t="shared" si="16"/>
        <v>0</v>
      </c>
      <c r="R41" s="637">
        <f t="shared" si="16"/>
        <v>0</v>
      </c>
      <c r="S41" s="637">
        <f t="shared" si="16"/>
        <v>0</v>
      </c>
      <c r="T41" s="637">
        <f t="shared" si="16"/>
        <v>0</v>
      </c>
      <c r="U41" s="637">
        <f t="shared" si="16"/>
        <v>0</v>
      </c>
    </row>
    <row r="42" spans="1:21" ht="31.5">
      <c r="A42" s="698"/>
      <c r="B42" s="698"/>
      <c r="C42" s="698"/>
      <c r="D42" s="698"/>
      <c r="E42" s="285"/>
      <c r="F42" s="284" t="s">
        <v>156</v>
      </c>
      <c r="G42" s="243" t="s">
        <v>153</v>
      </c>
      <c r="H42" s="242" t="s">
        <v>148</v>
      </c>
      <c r="I42" s="637">
        <f t="shared" ref="I42:U42" si="17">I27+I34</f>
        <v>0</v>
      </c>
      <c r="J42" s="637">
        <f t="shared" si="17"/>
        <v>0</v>
      </c>
      <c r="K42" s="637">
        <f t="shared" si="17"/>
        <v>0</v>
      </c>
      <c r="L42" s="637">
        <f t="shared" si="17"/>
        <v>0</v>
      </c>
      <c r="M42" s="637">
        <f t="shared" si="17"/>
        <v>0</v>
      </c>
      <c r="N42" s="637">
        <f t="shared" si="17"/>
        <v>0</v>
      </c>
      <c r="O42" s="637">
        <f t="shared" si="17"/>
        <v>0</v>
      </c>
      <c r="P42" s="637">
        <f t="shared" si="17"/>
        <v>0</v>
      </c>
      <c r="Q42" s="637">
        <f t="shared" si="17"/>
        <v>0</v>
      </c>
      <c r="R42" s="637">
        <f t="shared" si="17"/>
        <v>0</v>
      </c>
      <c r="S42" s="637">
        <f t="shared" si="17"/>
        <v>0</v>
      </c>
      <c r="T42" s="637">
        <f t="shared" si="17"/>
        <v>0</v>
      </c>
      <c r="U42" s="637">
        <f t="shared" si="17"/>
        <v>0</v>
      </c>
    </row>
    <row r="43" spans="1:21" ht="15.75">
      <c r="A43" s="698"/>
      <c r="B43" s="698"/>
      <c r="C43" s="698"/>
      <c r="D43" s="698"/>
      <c r="E43" s="285"/>
      <c r="F43" s="284" t="s">
        <v>157</v>
      </c>
      <c r="G43" s="243" t="s">
        <v>153</v>
      </c>
      <c r="H43" s="242" t="s">
        <v>5</v>
      </c>
      <c r="I43" s="637">
        <f t="shared" ref="I43:U43" si="18">I28+I35</f>
        <v>0</v>
      </c>
      <c r="J43" s="637">
        <f t="shared" si="18"/>
        <v>0</v>
      </c>
      <c r="K43" s="637">
        <f t="shared" si="18"/>
        <v>966.8</v>
      </c>
      <c r="L43" s="637">
        <f t="shared" si="18"/>
        <v>0</v>
      </c>
      <c r="M43" s="637">
        <f t="shared" si="18"/>
        <v>966.8</v>
      </c>
      <c r="N43" s="637">
        <f t="shared" si="18"/>
        <v>0</v>
      </c>
      <c r="O43" s="637">
        <f t="shared" si="18"/>
        <v>966.8</v>
      </c>
      <c r="P43" s="637">
        <f t="shared" si="18"/>
        <v>0</v>
      </c>
      <c r="Q43" s="637">
        <f t="shared" si="18"/>
        <v>0</v>
      </c>
      <c r="R43" s="637">
        <f t="shared" si="18"/>
        <v>0</v>
      </c>
      <c r="S43" s="637">
        <f t="shared" si="18"/>
        <v>0</v>
      </c>
      <c r="T43" s="637">
        <f t="shared" si="18"/>
        <v>0</v>
      </c>
      <c r="U43" s="637">
        <f t="shared" si="18"/>
        <v>0</v>
      </c>
    </row>
    <row r="44" spans="1:21" ht="15.75">
      <c r="A44" s="699"/>
      <c r="B44" s="699"/>
      <c r="C44" s="699"/>
      <c r="D44" s="699"/>
      <c r="E44" s="285"/>
      <c r="F44" s="284" t="s">
        <v>158</v>
      </c>
      <c r="G44" s="243" t="s">
        <v>153</v>
      </c>
      <c r="H44" s="242" t="s">
        <v>149</v>
      </c>
      <c r="I44" s="637">
        <f t="shared" ref="I44:U44" si="19">I29+I36</f>
        <v>0</v>
      </c>
      <c r="J44" s="637">
        <f t="shared" si="19"/>
        <v>0</v>
      </c>
      <c r="K44" s="637">
        <f t="shared" si="19"/>
        <v>0</v>
      </c>
      <c r="L44" s="637">
        <f t="shared" si="19"/>
        <v>0</v>
      </c>
      <c r="M44" s="637">
        <f t="shared" si="19"/>
        <v>0</v>
      </c>
      <c r="N44" s="637">
        <f t="shared" si="19"/>
        <v>0</v>
      </c>
      <c r="O44" s="637">
        <f t="shared" si="19"/>
        <v>0</v>
      </c>
      <c r="P44" s="637">
        <f t="shared" si="19"/>
        <v>0</v>
      </c>
      <c r="Q44" s="637">
        <f t="shared" si="19"/>
        <v>0</v>
      </c>
      <c r="R44" s="637">
        <f t="shared" si="19"/>
        <v>0</v>
      </c>
      <c r="S44" s="637">
        <f t="shared" si="19"/>
        <v>0</v>
      </c>
      <c r="T44" s="637">
        <f t="shared" si="19"/>
        <v>0</v>
      </c>
      <c r="U44" s="637">
        <f t="shared" si="19"/>
        <v>0</v>
      </c>
    </row>
    <row r="45" spans="1:21" ht="47.25">
      <c r="A45" s="275" t="s">
        <v>4</v>
      </c>
      <c r="B45" s="274" t="s">
        <v>4</v>
      </c>
      <c r="C45" s="249" t="s">
        <v>165</v>
      </c>
      <c r="D45" s="249" t="s">
        <v>166</v>
      </c>
      <c r="E45" s="283"/>
      <c r="F45" s="272" t="s">
        <v>167</v>
      </c>
      <c r="G45" s="272"/>
      <c r="H45" s="271"/>
      <c r="I45" s="634"/>
      <c r="J45" s="634"/>
      <c r="K45" s="634"/>
      <c r="L45" s="634"/>
      <c r="M45" s="634"/>
      <c r="N45" s="634"/>
      <c r="O45" s="634"/>
      <c r="P45" s="634"/>
      <c r="Q45" s="634"/>
      <c r="R45" s="634"/>
      <c r="S45" s="634"/>
      <c r="T45" s="634"/>
      <c r="U45" s="634"/>
    </row>
    <row r="46" spans="1:21" ht="15.75" customHeight="1">
      <c r="A46" s="717"/>
      <c r="B46" s="718"/>
      <c r="C46" s="700"/>
      <c r="D46" s="700"/>
      <c r="E46" s="700" t="s">
        <v>7</v>
      </c>
      <c r="F46" s="719" t="s">
        <v>168</v>
      </c>
      <c r="G46" s="697">
        <v>188714469</v>
      </c>
      <c r="H46" s="216" t="s">
        <v>145</v>
      </c>
      <c r="I46" s="254"/>
      <c r="J46" s="255"/>
      <c r="K46" s="256">
        <v>5.7</v>
      </c>
      <c r="L46" s="253"/>
      <c r="M46" s="253"/>
      <c r="N46" s="255"/>
      <c r="O46" s="635">
        <f t="shared" ref="O46:O51" si="20">I46+K46</f>
        <v>5.7</v>
      </c>
      <c r="P46" s="254"/>
      <c r="Q46" s="253"/>
      <c r="R46" s="253"/>
      <c r="S46" s="254"/>
      <c r="T46" s="253"/>
      <c r="U46" s="253"/>
    </row>
    <row r="47" spans="1:21" ht="15.75" customHeight="1">
      <c r="A47" s="698"/>
      <c r="B47" s="698"/>
      <c r="C47" s="698"/>
      <c r="D47" s="698"/>
      <c r="E47" s="698"/>
      <c r="F47" s="698"/>
      <c r="G47" s="698"/>
      <c r="H47" s="216" t="s">
        <v>146</v>
      </c>
      <c r="I47" s="254"/>
      <c r="J47" s="255"/>
      <c r="K47" s="254"/>
      <c r="L47" s="253"/>
      <c r="M47" s="253"/>
      <c r="N47" s="255"/>
      <c r="O47" s="635">
        <f t="shared" si="20"/>
        <v>0</v>
      </c>
      <c r="P47" s="254"/>
      <c r="Q47" s="253"/>
      <c r="R47" s="253"/>
      <c r="S47" s="254"/>
      <c r="T47" s="253"/>
      <c r="U47" s="253"/>
    </row>
    <row r="48" spans="1:21" ht="15.75">
      <c r="A48" s="698"/>
      <c r="B48" s="698"/>
      <c r="C48" s="698"/>
      <c r="D48" s="698"/>
      <c r="E48" s="698"/>
      <c r="F48" s="698"/>
      <c r="G48" s="698"/>
      <c r="H48" s="216" t="s">
        <v>147</v>
      </c>
      <c r="I48" s="254"/>
      <c r="J48" s="255"/>
      <c r="K48" s="254"/>
      <c r="L48" s="253"/>
      <c r="M48" s="253"/>
      <c r="N48" s="255"/>
      <c r="O48" s="635">
        <f t="shared" si="20"/>
        <v>0</v>
      </c>
      <c r="P48" s="254"/>
      <c r="Q48" s="253"/>
      <c r="R48" s="253"/>
      <c r="S48" s="254"/>
      <c r="T48" s="253"/>
      <c r="U48" s="253"/>
    </row>
    <row r="49" spans="1:21" ht="15.75">
      <c r="A49" s="698"/>
      <c r="B49" s="698"/>
      <c r="C49" s="698"/>
      <c r="D49" s="698"/>
      <c r="E49" s="698"/>
      <c r="F49" s="698"/>
      <c r="G49" s="698"/>
      <c r="H49" s="216" t="s">
        <v>148</v>
      </c>
      <c r="I49" s="254"/>
      <c r="J49" s="255"/>
      <c r="K49" s="254"/>
      <c r="L49" s="253"/>
      <c r="M49" s="253"/>
      <c r="N49" s="255"/>
      <c r="O49" s="635">
        <f t="shared" si="20"/>
        <v>0</v>
      </c>
      <c r="P49" s="254"/>
      <c r="Q49" s="253"/>
      <c r="R49" s="253"/>
      <c r="S49" s="254"/>
      <c r="T49" s="253"/>
      <c r="U49" s="253"/>
    </row>
    <row r="50" spans="1:21" ht="15.75">
      <c r="A50" s="698"/>
      <c r="B50" s="698"/>
      <c r="C50" s="698"/>
      <c r="D50" s="698"/>
      <c r="E50" s="698"/>
      <c r="F50" s="698"/>
      <c r="G50" s="698"/>
      <c r="H50" s="216" t="s">
        <v>5</v>
      </c>
      <c r="I50" s="254"/>
      <c r="J50" s="255"/>
      <c r="K50" s="254">
        <v>20</v>
      </c>
      <c r="L50" s="253">
        <v>20</v>
      </c>
      <c r="M50" s="253"/>
      <c r="N50" s="255"/>
      <c r="O50" s="635">
        <f t="shared" si="20"/>
        <v>20</v>
      </c>
      <c r="P50" s="254"/>
      <c r="Q50" s="253"/>
      <c r="R50" s="253"/>
      <c r="S50" s="254"/>
      <c r="T50" s="253"/>
      <c r="U50" s="253"/>
    </row>
    <row r="51" spans="1:21" ht="81" customHeight="1">
      <c r="A51" s="698"/>
      <c r="B51" s="698"/>
      <c r="C51" s="698"/>
      <c r="D51" s="698"/>
      <c r="E51" s="698"/>
      <c r="F51" s="699"/>
      <c r="G51" s="699"/>
      <c r="H51" s="216" t="s">
        <v>149</v>
      </c>
      <c r="I51" s="254"/>
      <c r="J51" s="255"/>
      <c r="K51" s="254"/>
      <c r="L51" s="253"/>
      <c r="M51" s="253"/>
      <c r="N51" s="255"/>
      <c r="O51" s="635">
        <f t="shared" si="20"/>
        <v>0</v>
      </c>
      <c r="P51" s="254"/>
      <c r="Q51" s="253"/>
      <c r="R51" s="253"/>
      <c r="S51" s="254"/>
      <c r="T51" s="253"/>
      <c r="U51" s="253"/>
    </row>
    <row r="52" spans="1:21" ht="31.5">
      <c r="A52" s="698"/>
      <c r="B52" s="698"/>
      <c r="C52" s="698"/>
      <c r="D52" s="698"/>
      <c r="E52" s="699"/>
      <c r="F52" s="278" t="s">
        <v>169</v>
      </c>
      <c r="G52" s="259"/>
      <c r="H52" s="216" t="s">
        <v>8</v>
      </c>
      <c r="I52" s="264">
        <f t="shared" ref="I52:U52" si="21">SUM(I46:I51)</f>
        <v>0</v>
      </c>
      <c r="J52" s="264">
        <f t="shared" si="21"/>
        <v>0</v>
      </c>
      <c r="K52" s="264">
        <f t="shared" si="21"/>
        <v>25.7</v>
      </c>
      <c r="L52" s="264">
        <f t="shared" si="21"/>
        <v>20</v>
      </c>
      <c r="M52" s="264">
        <f t="shared" si="21"/>
        <v>0</v>
      </c>
      <c r="N52" s="264">
        <f t="shared" si="21"/>
        <v>0</v>
      </c>
      <c r="O52" s="636">
        <f t="shared" si="21"/>
        <v>25.7</v>
      </c>
      <c r="P52" s="250">
        <f t="shared" si="21"/>
        <v>0</v>
      </c>
      <c r="Q52" s="264">
        <f t="shared" si="21"/>
        <v>0</v>
      </c>
      <c r="R52" s="264">
        <f t="shared" si="21"/>
        <v>0</v>
      </c>
      <c r="S52" s="250">
        <f t="shared" si="21"/>
        <v>0</v>
      </c>
      <c r="T52" s="264">
        <f t="shared" si="21"/>
        <v>0</v>
      </c>
      <c r="U52" s="264">
        <f t="shared" si="21"/>
        <v>0</v>
      </c>
    </row>
    <row r="53" spans="1:21" ht="15.75" customHeight="1">
      <c r="A53" s="698"/>
      <c r="B53" s="698"/>
      <c r="C53" s="698"/>
      <c r="D53" s="698"/>
      <c r="E53" s="711" t="s">
        <v>10</v>
      </c>
      <c r="F53" s="710" t="s">
        <v>170</v>
      </c>
      <c r="G53" s="697">
        <v>188714469</v>
      </c>
      <c r="H53" s="216" t="s">
        <v>145</v>
      </c>
      <c r="I53" s="254"/>
      <c r="J53" s="255"/>
      <c r="K53" s="254"/>
      <c r="L53" s="253"/>
      <c r="M53" s="253"/>
      <c r="N53" s="255"/>
      <c r="O53" s="635">
        <f t="shared" ref="O53:O58" si="22">I53+K53</f>
        <v>0</v>
      </c>
      <c r="P53" s="254"/>
      <c r="Q53" s="253"/>
      <c r="R53" s="253"/>
      <c r="S53" s="254"/>
      <c r="T53" s="253"/>
      <c r="U53" s="253"/>
    </row>
    <row r="54" spans="1:21" ht="15.75" customHeight="1">
      <c r="A54" s="698"/>
      <c r="B54" s="698"/>
      <c r="C54" s="698"/>
      <c r="D54" s="698"/>
      <c r="E54" s="698"/>
      <c r="F54" s="698"/>
      <c r="G54" s="698"/>
      <c r="H54" s="216" t="s">
        <v>146</v>
      </c>
      <c r="I54" s="254"/>
      <c r="J54" s="255"/>
      <c r="K54" s="254"/>
      <c r="L54" s="253"/>
      <c r="M54" s="253"/>
      <c r="N54" s="255"/>
      <c r="O54" s="635">
        <f t="shared" si="22"/>
        <v>0</v>
      </c>
      <c r="P54" s="254"/>
      <c r="Q54" s="253"/>
      <c r="R54" s="253"/>
      <c r="S54" s="254"/>
      <c r="T54" s="253"/>
      <c r="U54" s="253"/>
    </row>
    <row r="55" spans="1:21" ht="15.75">
      <c r="A55" s="698"/>
      <c r="B55" s="698"/>
      <c r="C55" s="698"/>
      <c r="D55" s="698"/>
      <c r="E55" s="698"/>
      <c r="F55" s="698"/>
      <c r="G55" s="698"/>
      <c r="H55" s="216" t="s">
        <v>147</v>
      </c>
      <c r="I55" s="254"/>
      <c r="J55" s="255"/>
      <c r="K55" s="254"/>
      <c r="L55" s="253"/>
      <c r="M55" s="253"/>
      <c r="N55" s="255"/>
      <c r="O55" s="635">
        <f t="shared" si="22"/>
        <v>0</v>
      </c>
      <c r="P55" s="254"/>
      <c r="Q55" s="253"/>
      <c r="R55" s="253"/>
      <c r="S55" s="254"/>
      <c r="T55" s="253"/>
      <c r="U55" s="253"/>
    </row>
    <row r="56" spans="1:21" ht="15.75">
      <c r="A56" s="698"/>
      <c r="B56" s="698"/>
      <c r="C56" s="698"/>
      <c r="D56" s="698"/>
      <c r="E56" s="698"/>
      <c r="F56" s="698"/>
      <c r="G56" s="698"/>
      <c r="H56" s="216" t="s">
        <v>148</v>
      </c>
      <c r="I56" s="254"/>
      <c r="J56" s="255"/>
      <c r="K56" s="254"/>
      <c r="L56" s="253"/>
      <c r="M56" s="253"/>
      <c r="N56" s="255"/>
      <c r="O56" s="635">
        <f t="shared" si="22"/>
        <v>0</v>
      </c>
      <c r="P56" s="254"/>
      <c r="Q56" s="253"/>
      <c r="R56" s="253"/>
      <c r="S56" s="254"/>
      <c r="T56" s="253"/>
      <c r="U56" s="253"/>
    </row>
    <row r="57" spans="1:21" ht="15.75">
      <c r="A57" s="698"/>
      <c r="B57" s="698"/>
      <c r="C57" s="698"/>
      <c r="D57" s="698"/>
      <c r="E57" s="698"/>
      <c r="F57" s="698"/>
      <c r="G57" s="698"/>
      <c r="H57" s="216" t="s">
        <v>5</v>
      </c>
      <c r="I57" s="254"/>
      <c r="J57" s="255"/>
      <c r="K57" s="254">
        <v>54.9</v>
      </c>
      <c r="L57" s="253">
        <v>54.9</v>
      </c>
      <c r="M57" s="253"/>
      <c r="N57" s="255"/>
      <c r="O57" s="635">
        <f t="shared" si="22"/>
        <v>54.9</v>
      </c>
      <c r="P57" s="254">
        <v>12.1</v>
      </c>
      <c r="Q57" s="253">
        <v>12.1</v>
      </c>
      <c r="R57" s="253"/>
      <c r="S57" s="254">
        <v>51.5</v>
      </c>
      <c r="T57" s="253">
        <v>51.5</v>
      </c>
      <c r="U57" s="253"/>
    </row>
    <row r="58" spans="1:21" ht="15.75">
      <c r="A58" s="698"/>
      <c r="B58" s="698"/>
      <c r="C58" s="698"/>
      <c r="D58" s="698"/>
      <c r="E58" s="698"/>
      <c r="F58" s="699"/>
      <c r="G58" s="699"/>
      <c r="H58" s="216" t="s">
        <v>149</v>
      </c>
      <c r="I58" s="254"/>
      <c r="J58" s="255"/>
      <c r="K58" s="254"/>
      <c r="L58" s="253"/>
      <c r="M58" s="253"/>
      <c r="N58" s="255"/>
      <c r="O58" s="635">
        <f t="shared" si="22"/>
        <v>0</v>
      </c>
      <c r="P58" s="254"/>
      <c r="Q58" s="253"/>
      <c r="R58" s="253"/>
      <c r="S58" s="254"/>
      <c r="T58" s="253"/>
      <c r="U58" s="253"/>
    </row>
    <row r="59" spans="1:21" ht="63">
      <c r="A59" s="698"/>
      <c r="B59" s="698"/>
      <c r="C59" s="698"/>
      <c r="D59" s="698"/>
      <c r="E59" s="699"/>
      <c r="F59" s="278" t="s">
        <v>171</v>
      </c>
      <c r="G59" s="259"/>
      <c r="H59" s="216" t="s">
        <v>8</v>
      </c>
      <c r="I59" s="264">
        <f t="shared" ref="I59:U59" si="23">SUM(I53:I58)</f>
        <v>0</v>
      </c>
      <c r="J59" s="264">
        <f t="shared" si="23"/>
        <v>0</v>
      </c>
      <c r="K59" s="264">
        <f t="shared" si="23"/>
        <v>54.9</v>
      </c>
      <c r="L59" s="264">
        <f t="shared" si="23"/>
        <v>54.9</v>
      </c>
      <c r="M59" s="264">
        <f t="shared" si="23"/>
        <v>0</v>
      </c>
      <c r="N59" s="264">
        <f t="shared" si="23"/>
        <v>0</v>
      </c>
      <c r="O59" s="636">
        <f t="shared" si="23"/>
        <v>54.9</v>
      </c>
      <c r="P59" s="250">
        <f t="shared" si="23"/>
        <v>12.1</v>
      </c>
      <c r="Q59" s="264">
        <f t="shared" si="23"/>
        <v>12.1</v>
      </c>
      <c r="R59" s="264">
        <f t="shared" si="23"/>
        <v>0</v>
      </c>
      <c r="S59" s="250">
        <f t="shared" si="23"/>
        <v>51.5</v>
      </c>
      <c r="T59" s="264">
        <f t="shared" si="23"/>
        <v>51.5</v>
      </c>
      <c r="U59" s="264">
        <f t="shared" si="23"/>
        <v>0</v>
      </c>
    </row>
    <row r="60" spans="1:21" ht="15.75">
      <c r="A60" s="698"/>
      <c r="B60" s="698"/>
      <c r="C60" s="698"/>
      <c r="D60" s="698"/>
      <c r="E60" s="700" t="s">
        <v>12</v>
      </c>
      <c r="F60" s="710" t="s">
        <v>172</v>
      </c>
      <c r="G60" s="703" t="s">
        <v>173</v>
      </c>
      <c r="H60" s="216" t="s">
        <v>145</v>
      </c>
      <c r="I60" s="254"/>
      <c r="J60" s="255"/>
      <c r="K60" s="254"/>
      <c r="L60" s="253"/>
      <c r="M60" s="253"/>
      <c r="N60" s="255"/>
      <c r="O60" s="635">
        <f t="shared" ref="O60:O65" si="24">I60+K60</f>
        <v>0</v>
      </c>
      <c r="P60" s="254"/>
      <c r="Q60" s="253"/>
      <c r="R60" s="253"/>
      <c r="S60" s="254"/>
      <c r="T60" s="253"/>
      <c r="U60" s="253"/>
    </row>
    <row r="61" spans="1:21" ht="15.75">
      <c r="A61" s="698"/>
      <c r="B61" s="698"/>
      <c r="C61" s="698"/>
      <c r="D61" s="698"/>
      <c r="E61" s="698"/>
      <c r="F61" s="698"/>
      <c r="G61" s="707"/>
      <c r="H61" s="216" t="s">
        <v>146</v>
      </c>
      <c r="I61" s="254"/>
      <c r="J61" s="255"/>
      <c r="K61" s="254"/>
      <c r="L61" s="253"/>
      <c r="M61" s="253"/>
      <c r="N61" s="255"/>
      <c r="O61" s="635">
        <f t="shared" si="24"/>
        <v>0</v>
      </c>
      <c r="P61" s="254"/>
      <c r="Q61" s="253"/>
      <c r="R61" s="253"/>
      <c r="S61" s="254"/>
      <c r="T61" s="253"/>
      <c r="U61" s="253"/>
    </row>
    <row r="62" spans="1:21" ht="15.75">
      <c r="A62" s="698"/>
      <c r="B62" s="698"/>
      <c r="C62" s="698"/>
      <c r="D62" s="698"/>
      <c r="E62" s="698"/>
      <c r="F62" s="698"/>
      <c r="G62" s="707"/>
      <c r="H62" s="216" t="s">
        <v>147</v>
      </c>
      <c r="I62" s="254"/>
      <c r="J62" s="255"/>
      <c r="K62" s="254"/>
      <c r="L62" s="253"/>
      <c r="M62" s="253"/>
      <c r="N62" s="255"/>
      <c r="O62" s="635">
        <f t="shared" si="24"/>
        <v>0</v>
      </c>
      <c r="P62" s="254"/>
      <c r="Q62" s="253"/>
      <c r="R62" s="253"/>
      <c r="S62" s="254"/>
      <c r="T62" s="253"/>
      <c r="U62" s="253"/>
    </row>
    <row r="63" spans="1:21" ht="15.75">
      <c r="A63" s="698"/>
      <c r="B63" s="698"/>
      <c r="C63" s="698"/>
      <c r="D63" s="698"/>
      <c r="E63" s="698"/>
      <c r="F63" s="698"/>
      <c r="G63" s="707"/>
      <c r="H63" s="216" t="s">
        <v>148</v>
      </c>
      <c r="I63" s="254"/>
      <c r="J63" s="255"/>
      <c r="K63" s="254"/>
      <c r="L63" s="253"/>
      <c r="M63" s="253"/>
      <c r="N63" s="255"/>
      <c r="O63" s="635">
        <f t="shared" si="24"/>
        <v>0</v>
      </c>
      <c r="P63" s="254"/>
      <c r="Q63" s="253"/>
      <c r="R63" s="253"/>
      <c r="S63" s="254"/>
      <c r="T63" s="253"/>
      <c r="U63" s="253"/>
    </row>
    <row r="64" spans="1:21" ht="15.75">
      <c r="A64" s="698"/>
      <c r="B64" s="698"/>
      <c r="C64" s="698"/>
      <c r="D64" s="698"/>
      <c r="E64" s="698"/>
      <c r="F64" s="698"/>
      <c r="G64" s="707"/>
      <c r="H64" s="216" t="s">
        <v>5</v>
      </c>
      <c r="I64" s="254"/>
      <c r="J64" s="255"/>
      <c r="K64" s="254">
        <v>30</v>
      </c>
      <c r="L64" s="253">
        <v>30</v>
      </c>
      <c r="M64" s="253"/>
      <c r="N64" s="255"/>
      <c r="O64" s="635">
        <f t="shared" si="24"/>
        <v>30</v>
      </c>
      <c r="P64" s="254">
        <v>21.1</v>
      </c>
      <c r="Q64" s="253">
        <v>21.1</v>
      </c>
      <c r="R64" s="253"/>
      <c r="S64" s="254">
        <v>6.9</v>
      </c>
      <c r="T64" s="253">
        <v>6.9</v>
      </c>
      <c r="U64" s="253"/>
    </row>
    <row r="65" spans="1:21" ht="15.75">
      <c r="A65" s="698"/>
      <c r="B65" s="698"/>
      <c r="C65" s="698"/>
      <c r="D65" s="698"/>
      <c r="E65" s="698"/>
      <c r="F65" s="699"/>
      <c r="G65" s="708"/>
      <c r="H65" s="216" t="s">
        <v>149</v>
      </c>
      <c r="I65" s="254">
        <v>18.006</v>
      </c>
      <c r="J65" s="255">
        <v>0</v>
      </c>
      <c r="K65" s="254">
        <v>157</v>
      </c>
      <c r="L65" s="253"/>
      <c r="M65" s="253"/>
      <c r="N65" s="255">
        <v>5</v>
      </c>
      <c r="O65" s="635">
        <f t="shared" si="24"/>
        <v>175.006</v>
      </c>
      <c r="P65" s="254">
        <v>119.5</v>
      </c>
      <c r="Q65" s="253"/>
      <c r="R65" s="253"/>
      <c r="S65" s="254">
        <v>38.700000000000003</v>
      </c>
      <c r="T65" s="253"/>
      <c r="U65" s="253"/>
    </row>
    <row r="66" spans="1:21" ht="47.25">
      <c r="A66" s="698"/>
      <c r="B66" s="698"/>
      <c r="C66" s="698"/>
      <c r="D66" s="698"/>
      <c r="E66" s="699"/>
      <c r="F66" s="278" t="s">
        <v>174</v>
      </c>
      <c r="G66" s="259"/>
      <c r="H66" s="216" t="s">
        <v>8</v>
      </c>
      <c r="I66" s="264">
        <f t="shared" ref="I66:U66" si="25">SUM(I60:I65)</f>
        <v>18.006</v>
      </c>
      <c r="J66" s="264">
        <f t="shared" si="25"/>
        <v>0</v>
      </c>
      <c r="K66" s="264">
        <f t="shared" si="25"/>
        <v>187</v>
      </c>
      <c r="L66" s="264">
        <f t="shared" si="25"/>
        <v>30</v>
      </c>
      <c r="M66" s="264">
        <f t="shared" si="25"/>
        <v>0</v>
      </c>
      <c r="N66" s="264">
        <f t="shared" si="25"/>
        <v>5</v>
      </c>
      <c r="O66" s="636">
        <f t="shared" si="25"/>
        <v>205.006</v>
      </c>
      <c r="P66" s="250">
        <f t="shared" si="25"/>
        <v>140.6</v>
      </c>
      <c r="Q66" s="264">
        <f t="shared" si="25"/>
        <v>21.1</v>
      </c>
      <c r="R66" s="264">
        <f t="shared" si="25"/>
        <v>0</v>
      </c>
      <c r="S66" s="250">
        <f t="shared" si="25"/>
        <v>45.6</v>
      </c>
      <c r="T66" s="264">
        <f t="shared" si="25"/>
        <v>6.9</v>
      </c>
      <c r="U66" s="264">
        <f t="shared" si="25"/>
        <v>0</v>
      </c>
    </row>
    <row r="67" spans="1:21" ht="15.75" customHeight="1">
      <c r="A67" s="698"/>
      <c r="B67" s="698"/>
      <c r="C67" s="698"/>
      <c r="D67" s="698"/>
      <c r="E67" s="700" t="s">
        <v>11</v>
      </c>
      <c r="F67" s="719" t="s">
        <v>175</v>
      </c>
      <c r="G67" s="697">
        <v>188714469</v>
      </c>
      <c r="H67" s="216" t="s">
        <v>145</v>
      </c>
      <c r="I67" s="254"/>
      <c r="J67" s="255"/>
      <c r="K67" s="254">
        <v>22.5</v>
      </c>
      <c r="L67" s="253"/>
      <c r="M67" s="253"/>
      <c r="N67" s="255"/>
      <c r="O67" s="635">
        <f t="shared" ref="O67:O72" si="26">I67+K67</f>
        <v>22.5</v>
      </c>
      <c r="P67" s="254">
        <v>90.3</v>
      </c>
      <c r="Q67" s="253"/>
      <c r="R67" s="253"/>
      <c r="S67" s="254">
        <v>90.2</v>
      </c>
      <c r="T67" s="253"/>
      <c r="U67" s="253"/>
    </row>
    <row r="68" spans="1:21" ht="15.75" customHeight="1">
      <c r="A68" s="698"/>
      <c r="B68" s="698"/>
      <c r="C68" s="698"/>
      <c r="D68" s="698"/>
      <c r="E68" s="698"/>
      <c r="F68" s="698"/>
      <c r="G68" s="698"/>
      <c r="H68" s="216" t="s">
        <v>146</v>
      </c>
      <c r="I68" s="254"/>
      <c r="J68" s="255"/>
      <c r="K68" s="254"/>
      <c r="L68" s="253"/>
      <c r="M68" s="253"/>
      <c r="N68" s="255"/>
      <c r="O68" s="635">
        <f t="shared" si="26"/>
        <v>0</v>
      </c>
      <c r="P68" s="254"/>
      <c r="Q68" s="253"/>
      <c r="R68" s="253"/>
      <c r="S68" s="254"/>
      <c r="T68" s="253"/>
      <c r="U68" s="253"/>
    </row>
    <row r="69" spans="1:21" ht="15.75">
      <c r="A69" s="698"/>
      <c r="B69" s="698"/>
      <c r="C69" s="698"/>
      <c r="D69" s="698"/>
      <c r="E69" s="698"/>
      <c r="F69" s="698"/>
      <c r="G69" s="698"/>
      <c r="H69" s="216" t="s">
        <v>147</v>
      </c>
      <c r="I69" s="254"/>
      <c r="J69" s="255"/>
      <c r="K69" s="254"/>
      <c r="L69" s="253"/>
      <c r="M69" s="253"/>
      <c r="N69" s="255"/>
      <c r="O69" s="635">
        <f t="shared" si="26"/>
        <v>0</v>
      </c>
      <c r="P69" s="254"/>
      <c r="Q69" s="253"/>
      <c r="R69" s="253"/>
      <c r="S69" s="254"/>
      <c r="T69" s="253"/>
      <c r="U69" s="253"/>
    </row>
    <row r="70" spans="1:21" ht="15.75">
      <c r="A70" s="698"/>
      <c r="B70" s="698"/>
      <c r="C70" s="698"/>
      <c r="D70" s="698"/>
      <c r="E70" s="698"/>
      <c r="F70" s="698"/>
      <c r="G70" s="698"/>
      <c r="H70" s="216" t="s">
        <v>148</v>
      </c>
      <c r="I70" s="254"/>
      <c r="J70" s="255"/>
      <c r="K70" s="254"/>
      <c r="L70" s="253"/>
      <c r="M70" s="253"/>
      <c r="N70" s="255"/>
      <c r="O70" s="635">
        <f t="shared" si="26"/>
        <v>0</v>
      </c>
      <c r="P70" s="254"/>
      <c r="Q70" s="253"/>
      <c r="R70" s="253"/>
      <c r="S70" s="254"/>
      <c r="T70" s="253"/>
      <c r="U70" s="253"/>
    </row>
    <row r="71" spans="1:21" ht="15.75">
      <c r="A71" s="698"/>
      <c r="B71" s="698"/>
      <c r="C71" s="698"/>
      <c r="D71" s="698"/>
      <c r="E71" s="698"/>
      <c r="F71" s="698"/>
      <c r="G71" s="698"/>
      <c r="H71" s="216" t="s">
        <v>5</v>
      </c>
      <c r="I71" s="254"/>
      <c r="J71" s="255"/>
      <c r="K71" s="254"/>
      <c r="L71" s="253"/>
      <c r="M71" s="253"/>
      <c r="N71" s="255"/>
      <c r="O71" s="635">
        <f t="shared" si="26"/>
        <v>0</v>
      </c>
      <c r="P71" s="254"/>
      <c r="Q71" s="253"/>
      <c r="R71" s="253"/>
      <c r="S71" s="254"/>
      <c r="T71" s="253"/>
      <c r="U71" s="253"/>
    </row>
    <row r="72" spans="1:21" ht="15.75">
      <c r="A72" s="698"/>
      <c r="B72" s="698"/>
      <c r="C72" s="698"/>
      <c r="D72" s="698"/>
      <c r="E72" s="698"/>
      <c r="F72" s="699"/>
      <c r="G72" s="699"/>
      <c r="H72" s="216" t="s">
        <v>149</v>
      </c>
      <c r="I72" s="254"/>
      <c r="J72" s="255"/>
      <c r="K72" s="254"/>
      <c r="L72" s="253"/>
      <c r="M72" s="253"/>
      <c r="N72" s="255"/>
      <c r="O72" s="635">
        <f t="shared" si="26"/>
        <v>0</v>
      </c>
      <c r="P72" s="254"/>
      <c r="Q72" s="253"/>
      <c r="R72" s="253"/>
      <c r="S72" s="254"/>
      <c r="T72" s="253"/>
      <c r="U72" s="253"/>
    </row>
    <row r="73" spans="1:21" ht="31.5">
      <c r="A73" s="698"/>
      <c r="B73" s="698"/>
      <c r="C73" s="698"/>
      <c r="D73" s="698"/>
      <c r="E73" s="699"/>
      <c r="F73" s="278" t="s">
        <v>176</v>
      </c>
      <c r="G73" s="259"/>
      <c r="H73" s="216" t="s">
        <v>8</v>
      </c>
      <c r="I73" s="264">
        <f t="shared" ref="I73:U73" si="27">SUM(I67:I72)</f>
        <v>0</v>
      </c>
      <c r="J73" s="264">
        <f t="shared" si="27"/>
        <v>0</v>
      </c>
      <c r="K73" s="264">
        <f t="shared" si="27"/>
        <v>22.5</v>
      </c>
      <c r="L73" s="264">
        <f t="shared" si="27"/>
        <v>0</v>
      </c>
      <c r="M73" s="264">
        <f t="shared" si="27"/>
        <v>0</v>
      </c>
      <c r="N73" s="264">
        <f t="shared" si="27"/>
        <v>0</v>
      </c>
      <c r="O73" s="636">
        <f t="shared" si="27"/>
        <v>22.5</v>
      </c>
      <c r="P73" s="250">
        <f t="shared" si="27"/>
        <v>90.3</v>
      </c>
      <c r="Q73" s="264">
        <f t="shared" si="27"/>
        <v>0</v>
      </c>
      <c r="R73" s="264">
        <f t="shared" si="27"/>
        <v>0</v>
      </c>
      <c r="S73" s="250">
        <f t="shared" si="27"/>
        <v>90.2</v>
      </c>
      <c r="T73" s="264">
        <f t="shared" si="27"/>
        <v>0</v>
      </c>
      <c r="U73" s="264">
        <f t="shared" si="27"/>
        <v>0</v>
      </c>
    </row>
    <row r="74" spans="1:21" ht="15.75">
      <c r="A74" s="698"/>
      <c r="B74" s="698"/>
      <c r="C74" s="698"/>
      <c r="D74" s="698"/>
      <c r="E74" s="700" t="s">
        <v>177</v>
      </c>
      <c r="F74" s="710" t="s">
        <v>178</v>
      </c>
      <c r="G74" s="697">
        <v>188714469</v>
      </c>
      <c r="H74" s="216" t="s">
        <v>145</v>
      </c>
      <c r="I74" s="254"/>
      <c r="J74" s="255"/>
      <c r="K74" s="254"/>
      <c r="L74" s="253"/>
      <c r="M74" s="253"/>
      <c r="N74" s="255"/>
      <c r="O74" s="635">
        <f t="shared" ref="O74:O79" si="28">I74+K74</f>
        <v>0</v>
      </c>
      <c r="P74" s="254"/>
      <c r="Q74" s="253"/>
      <c r="R74" s="253"/>
      <c r="S74" s="254"/>
      <c r="T74" s="253"/>
      <c r="U74" s="253"/>
    </row>
    <row r="75" spans="1:21" ht="15.75" customHeight="1">
      <c r="A75" s="698"/>
      <c r="B75" s="698"/>
      <c r="C75" s="698"/>
      <c r="D75" s="698"/>
      <c r="E75" s="698"/>
      <c r="F75" s="698"/>
      <c r="G75" s="698"/>
      <c r="H75" s="216" t="s">
        <v>146</v>
      </c>
      <c r="I75" s="254"/>
      <c r="J75" s="255"/>
      <c r="K75" s="254"/>
      <c r="L75" s="253"/>
      <c r="M75" s="253"/>
      <c r="N75" s="255"/>
      <c r="O75" s="635">
        <f t="shared" si="28"/>
        <v>0</v>
      </c>
      <c r="P75" s="254"/>
      <c r="Q75" s="253"/>
      <c r="R75" s="253"/>
      <c r="S75" s="254"/>
      <c r="T75" s="253"/>
      <c r="U75" s="253"/>
    </row>
    <row r="76" spans="1:21" ht="15.75">
      <c r="A76" s="698"/>
      <c r="B76" s="698"/>
      <c r="C76" s="698"/>
      <c r="D76" s="698"/>
      <c r="E76" s="698"/>
      <c r="F76" s="698"/>
      <c r="G76" s="698"/>
      <c r="H76" s="216" t="s">
        <v>147</v>
      </c>
      <c r="I76" s="254"/>
      <c r="J76" s="255"/>
      <c r="K76" s="254"/>
      <c r="L76" s="253"/>
      <c r="M76" s="253"/>
      <c r="N76" s="255"/>
      <c r="O76" s="635">
        <f t="shared" si="28"/>
        <v>0</v>
      </c>
      <c r="P76" s="254"/>
      <c r="Q76" s="253"/>
      <c r="R76" s="253"/>
      <c r="S76" s="254"/>
      <c r="T76" s="253"/>
      <c r="U76" s="253"/>
    </row>
    <row r="77" spans="1:21" ht="15.75">
      <c r="A77" s="698"/>
      <c r="B77" s="698"/>
      <c r="C77" s="698"/>
      <c r="D77" s="698"/>
      <c r="E77" s="698"/>
      <c r="F77" s="698"/>
      <c r="G77" s="698"/>
      <c r="H77" s="216" t="s">
        <v>148</v>
      </c>
      <c r="I77" s="254"/>
      <c r="J77" s="255"/>
      <c r="K77" s="254"/>
      <c r="L77" s="253"/>
      <c r="M77" s="253"/>
      <c r="N77" s="255"/>
      <c r="O77" s="635">
        <f t="shared" si="28"/>
        <v>0</v>
      </c>
      <c r="P77" s="254"/>
      <c r="Q77" s="253"/>
      <c r="R77" s="253"/>
      <c r="S77" s="254"/>
      <c r="T77" s="253"/>
      <c r="U77" s="253"/>
    </row>
    <row r="78" spans="1:21" ht="15.75">
      <c r="A78" s="698"/>
      <c r="B78" s="698"/>
      <c r="C78" s="698"/>
      <c r="D78" s="698"/>
      <c r="E78" s="698"/>
      <c r="F78" s="698"/>
      <c r="G78" s="698"/>
      <c r="H78" s="216" t="s">
        <v>5</v>
      </c>
      <c r="I78" s="254"/>
      <c r="J78" s="255"/>
      <c r="K78" s="254">
        <v>85</v>
      </c>
      <c r="L78" s="253"/>
      <c r="M78" s="253">
        <v>85</v>
      </c>
      <c r="N78" s="255"/>
      <c r="O78" s="635">
        <f t="shared" si="28"/>
        <v>85</v>
      </c>
      <c r="P78" s="254">
        <v>370</v>
      </c>
      <c r="Q78" s="253">
        <v>370</v>
      </c>
      <c r="R78" s="253"/>
      <c r="S78" s="254">
        <v>213.5</v>
      </c>
      <c r="T78" s="253">
        <v>213.5</v>
      </c>
      <c r="U78" s="253"/>
    </row>
    <row r="79" spans="1:21" ht="27.75" customHeight="1">
      <c r="A79" s="698"/>
      <c r="B79" s="698"/>
      <c r="C79" s="698"/>
      <c r="D79" s="698"/>
      <c r="E79" s="698"/>
      <c r="F79" s="699"/>
      <c r="G79" s="699"/>
      <c r="H79" s="216" t="s">
        <v>149</v>
      </c>
      <c r="I79" s="254"/>
      <c r="J79" s="255"/>
      <c r="K79" s="254"/>
      <c r="L79" s="253"/>
      <c r="M79" s="253"/>
      <c r="N79" s="255"/>
      <c r="O79" s="635">
        <f t="shared" si="28"/>
        <v>0</v>
      </c>
      <c r="P79" s="254">
        <v>2200</v>
      </c>
      <c r="Q79" s="253"/>
      <c r="R79" s="253"/>
      <c r="S79" s="254">
        <v>1189.9000000000001</v>
      </c>
      <c r="T79" s="253"/>
      <c r="U79" s="253"/>
    </row>
    <row r="80" spans="1:21" ht="15.75">
      <c r="A80" s="698"/>
      <c r="B80" s="698"/>
      <c r="C80" s="698"/>
      <c r="D80" s="698"/>
      <c r="E80" s="699"/>
      <c r="F80" s="278" t="s">
        <v>179</v>
      </c>
      <c r="G80" s="259"/>
      <c r="H80" s="216" t="s">
        <v>8</v>
      </c>
      <c r="I80" s="264">
        <f t="shared" ref="I80:U80" si="29">SUM(I74:I79)</f>
        <v>0</v>
      </c>
      <c r="J80" s="264">
        <f t="shared" si="29"/>
        <v>0</v>
      </c>
      <c r="K80" s="264">
        <f t="shared" si="29"/>
        <v>85</v>
      </c>
      <c r="L80" s="264">
        <f t="shared" si="29"/>
        <v>0</v>
      </c>
      <c r="M80" s="264">
        <f t="shared" si="29"/>
        <v>85</v>
      </c>
      <c r="N80" s="264">
        <f t="shared" si="29"/>
        <v>0</v>
      </c>
      <c r="O80" s="636">
        <f t="shared" si="29"/>
        <v>85</v>
      </c>
      <c r="P80" s="250">
        <f t="shared" si="29"/>
        <v>2570</v>
      </c>
      <c r="Q80" s="264">
        <f t="shared" si="29"/>
        <v>370</v>
      </c>
      <c r="R80" s="264">
        <f t="shared" si="29"/>
        <v>0</v>
      </c>
      <c r="S80" s="250">
        <f t="shared" si="29"/>
        <v>1403.4</v>
      </c>
      <c r="T80" s="264">
        <f t="shared" si="29"/>
        <v>213.5</v>
      </c>
      <c r="U80" s="264">
        <f t="shared" si="29"/>
        <v>0</v>
      </c>
    </row>
    <row r="81" spans="1:21" ht="15.75">
      <c r="A81" s="698"/>
      <c r="B81" s="698"/>
      <c r="C81" s="698"/>
      <c r="D81" s="698"/>
      <c r="E81" s="700" t="s">
        <v>180</v>
      </c>
      <c r="F81" s="719" t="s">
        <v>181</v>
      </c>
      <c r="G81" s="697">
        <v>188714469</v>
      </c>
      <c r="H81" s="216" t="s">
        <v>145</v>
      </c>
      <c r="I81" s="254"/>
      <c r="J81" s="255"/>
      <c r="K81" s="254"/>
      <c r="L81" s="253"/>
      <c r="M81" s="253"/>
      <c r="N81" s="255"/>
      <c r="O81" s="635">
        <f t="shared" ref="O81:O86" si="30">I81+K81</f>
        <v>0</v>
      </c>
      <c r="P81" s="254"/>
      <c r="Q81" s="253"/>
      <c r="R81" s="253"/>
      <c r="S81" s="254"/>
      <c r="T81" s="253"/>
      <c r="U81" s="253"/>
    </row>
    <row r="82" spans="1:21" ht="15.75">
      <c r="A82" s="698"/>
      <c r="B82" s="698"/>
      <c r="C82" s="698"/>
      <c r="D82" s="698"/>
      <c r="E82" s="698"/>
      <c r="F82" s="698"/>
      <c r="G82" s="698"/>
      <c r="H82" s="216" t="s">
        <v>146</v>
      </c>
      <c r="I82" s="254"/>
      <c r="J82" s="255"/>
      <c r="K82" s="254"/>
      <c r="L82" s="253"/>
      <c r="M82" s="253"/>
      <c r="N82" s="255"/>
      <c r="O82" s="635">
        <f t="shared" si="30"/>
        <v>0</v>
      </c>
      <c r="P82" s="254"/>
      <c r="Q82" s="253"/>
      <c r="R82" s="253"/>
      <c r="S82" s="254"/>
      <c r="T82" s="253"/>
      <c r="U82" s="253"/>
    </row>
    <row r="83" spans="1:21" ht="15.75">
      <c r="A83" s="698"/>
      <c r="B83" s="698"/>
      <c r="C83" s="698"/>
      <c r="D83" s="698"/>
      <c r="E83" s="698"/>
      <c r="F83" s="698"/>
      <c r="G83" s="698"/>
      <c r="H83" s="216" t="s">
        <v>147</v>
      </c>
      <c r="I83" s="254"/>
      <c r="J83" s="255"/>
      <c r="K83" s="254"/>
      <c r="L83" s="253"/>
      <c r="M83" s="253"/>
      <c r="N83" s="255"/>
      <c r="O83" s="635">
        <f t="shared" si="30"/>
        <v>0</v>
      </c>
      <c r="P83" s="254"/>
      <c r="Q83" s="253"/>
      <c r="R83" s="253"/>
      <c r="S83" s="254"/>
      <c r="T83" s="253"/>
      <c r="U83" s="253"/>
    </row>
    <row r="84" spans="1:21" ht="15.75">
      <c r="A84" s="698"/>
      <c r="B84" s="698"/>
      <c r="C84" s="698"/>
      <c r="D84" s="698"/>
      <c r="E84" s="698"/>
      <c r="F84" s="698"/>
      <c r="G84" s="698"/>
      <c r="H84" s="216" t="s">
        <v>148</v>
      </c>
      <c r="I84" s="254"/>
      <c r="J84" s="255"/>
      <c r="K84" s="254"/>
      <c r="L84" s="253"/>
      <c r="M84" s="253"/>
      <c r="N84" s="255"/>
      <c r="O84" s="635">
        <f t="shared" si="30"/>
        <v>0</v>
      </c>
      <c r="P84" s="254"/>
      <c r="Q84" s="253"/>
      <c r="R84" s="253"/>
      <c r="S84" s="254"/>
      <c r="T84" s="253"/>
      <c r="U84" s="253"/>
    </row>
    <row r="85" spans="1:21" ht="15.75">
      <c r="A85" s="698"/>
      <c r="B85" s="698"/>
      <c r="C85" s="698"/>
      <c r="D85" s="698"/>
      <c r="E85" s="698"/>
      <c r="F85" s="698"/>
      <c r="G85" s="698"/>
      <c r="H85" s="216" t="s">
        <v>5</v>
      </c>
      <c r="I85" s="254"/>
      <c r="J85" s="255"/>
      <c r="K85" s="254">
        <v>8.1</v>
      </c>
      <c r="L85" s="253">
        <v>8.1</v>
      </c>
      <c r="M85" s="253"/>
      <c r="N85" s="255"/>
      <c r="O85" s="635">
        <f t="shared" si="30"/>
        <v>8.1</v>
      </c>
      <c r="P85" s="254"/>
      <c r="Q85" s="253"/>
      <c r="R85" s="253"/>
      <c r="S85" s="254"/>
      <c r="T85" s="253"/>
      <c r="U85" s="253"/>
    </row>
    <row r="86" spans="1:21" ht="15.75">
      <c r="A86" s="698"/>
      <c r="B86" s="698"/>
      <c r="C86" s="698"/>
      <c r="D86" s="698"/>
      <c r="E86" s="698"/>
      <c r="F86" s="699"/>
      <c r="G86" s="699"/>
      <c r="H86" s="216" t="s">
        <v>149</v>
      </c>
      <c r="I86" s="254">
        <v>85.296000000000006</v>
      </c>
      <c r="J86" s="255">
        <v>10</v>
      </c>
      <c r="K86" s="254">
        <v>306</v>
      </c>
      <c r="L86" s="253"/>
      <c r="M86" s="253"/>
      <c r="N86" s="255"/>
      <c r="O86" s="635">
        <f t="shared" si="30"/>
        <v>391.29599999999999</v>
      </c>
      <c r="P86" s="254"/>
      <c r="Q86" s="253"/>
      <c r="R86" s="253"/>
      <c r="S86" s="254"/>
      <c r="T86" s="253"/>
      <c r="U86" s="253"/>
    </row>
    <row r="87" spans="1:21" ht="47.25">
      <c r="A87" s="698"/>
      <c r="B87" s="698"/>
      <c r="C87" s="698"/>
      <c r="D87" s="698"/>
      <c r="E87" s="699"/>
      <c r="F87" s="278" t="s">
        <v>182</v>
      </c>
      <c r="G87" s="259"/>
      <c r="H87" s="216" t="s">
        <v>8</v>
      </c>
      <c r="I87" s="264">
        <f t="shared" ref="I87:U87" si="31">SUM(I81:I86)</f>
        <v>85.296000000000006</v>
      </c>
      <c r="J87" s="264">
        <f t="shared" si="31"/>
        <v>10</v>
      </c>
      <c r="K87" s="264">
        <f t="shared" si="31"/>
        <v>314.10000000000002</v>
      </c>
      <c r="L87" s="264">
        <f t="shared" si="31"/>
        <v>8.1</v>
      </c>
      <c r="M87" s="264">
        <f t="shared" si="31"/>
        <v>0</v>
      </c>
      <c r="N87" s="264">
        <f t="shared" si="31"/>
        <v>0</v>
      </c>
      <c r="O87" s="636">
        <f t="shared" si="31"/>
        <v>399.39600000000002</v>
      </c>
      <c r="P87" s="250">
        <f t="shared" si="31"/>
        <v>0</v>
      </c>
      <c r="Q87" s="264">
        <f t="shared" si="31"/>
        <v>0</v>
      </c>
      <c r="R87" s="264">
        <f t="shared" si="31"/>
        <v>0</v>
      </c>
      <c r="S87" s="250">
        <f t="shared" si="31"/>
        <v>0</v>
      </c>
      <c r="T87" s="264">
        <f t="shared" si="31"/>
        <v>0</v>
      </c>
      <c r="U87" s="264">
        <f t="shared" si="31"/>
        <v>0</v>
      </c>
    </row>
    <row r="88" spans="1:21" ht="15.75">
      <c r="A88" s="698"/>
      <c r="B88" s="698"/>
      <c r="C88" s="698"/>
      <c r="D88" s="698"/>
      <c r="E88" s="700" t="s">
        <v>183</v>
      </c>
      <c r="F88" s="719" t="s">
        <v>184</v>
      </c>
      <c r="G88" s="697">
        <v>188714469</v>
      </c>
      <c r="H88" s="216" t="s">
        <v>145</v>
      </c>
      <c r="I88" s="254"/>
      <c r="J88" s="255"/>
      <c r="K88" s="254"/>
      <c r="L88" s="253"/>
      <c r="M88" s="253"/>
      <c r="N88" s="255"/>
      <c r="O88" s="635">
        <f t="shared" ref="O88:O93" si="32">I88+K88</f>
        <v>0</v>
      </c>
      <c r="P88" s="254"/>
      <c r="Q88" s="253"/>
      <c r="R88" s="253"/>
      <c r="S88" s="254"/>
      <c r="T88" s="253"/>
      <c r="U88" s="253"/>
    </row>
    <row r="89" spans="1:21" ht="15.75">
      <c r="A89" s="698"/>
      <c r="B89" s="698"/>
      <c r="C89" s="698"/>
      <c r="D89" s="698"/>
      <c r="E89" s="698"/>
      <c r="F89" s="698"/>
      <c r="G89" s="698"/>
      <c r="H89" s="216" t="s">
        <v>146</v>
      </c>
      <c r="I89" s="254"/>
      <c r="J89" s="255"/>
      <c r="K89" s="254"/>
      <c r="L89" s="253"/>
      <c r="M89" s="253"/>
      <c r="N89" s="255"/>
      <c r="O89" s="635">
        <f t="shared" si="32"/>
        <v>0</v>
      </c>
      <c r="P89" s="254"/>
      <c r="Q89" s="253"/>
      <c r="R89" s="253"/>
      <c r="S89" s="254"/>
      <c r="T89" s="253"/>
      <c r="U89" s="253"/>
    </row>
    <row r="90" spans="1:21" ht="15.75">
      <c r="A90" s="698"/>
      <c r="B90" s="698"/>
      <c r="C90" s="698"/>
      <c r="D90" s="698"/>
      <c r="E90" s="698"/>
      <c r="F90" s="698"/>
      <c r="G90" s="698"/>
      <c r="H90" s="216" t="s">
        <v>147</v>
      </c>
      <c r="I90" s="254"/>
      <c r="J90" s="255"/>
      <c r="K90" s="254"/>
      <c r="L90" s="253"/>
      <c r="M90" s="253"/>
      <c r="N90" s="255"/>
      <c r="O90" s="635">
        <f t="shared" si="32"/>
        <v>0</v>
      </c>
      <c r="P90" s="254"/>
      <c r="Q90" s="253"/>
      <c r="R90" s="253"/>
      <c r="S90" s="254"/>
      <c r="T90" s="253"/>
      <c r="U90" s="253"/>
    </row>
    <row r="91" spans="1:21" ht="15.75">
      <c r="A91" s="698"/>
      <c r="B91" s="698"/>
      <c r="C91" s="698"/>
      <c r="D91" s="698"/>
      <c r="E91" s="698"/>
      <c r="F91" s="698"/>
      <c r="G91" s="698"/>
      <c r="H91" s="216" t="s">
        <v>148</v>
      </c>
      <c r="I91" s="254"/>
      <c r="J91" s="255"/>
      <c r="K91" s="254"/>
      <c r="L91" s="253"/>
      <c r="M91" s="253"/>
      <c r="N91" s="255"/>
      <c r="O91" s="635">
        <f t="shared" si="32"/>
        <v>0</v>
      </c>
      <c r="P91" s="254"/>
      <c r="Q91" s="253"/>
      <c r="R91" s="253"/>
      <c r="S91" s="254"/>
      <c r="T91" s="253"/>
      <c r="U91" s="253"/>
    </row>
    <row r="92" spans="1:21" ht="15.75">
      <c r="A92" s="698"/>
      <c r="B92" s="698"/>
      <c r="C92" s="698"/>
      <c r="D92" s="698"/>
      <c r="E92" s="698"/>
      <c r="F92" s="698"/>
      <c r="G92" s="698"/>
      <c r="H92" s="216" t="s">
        <v>5</v>
      </c>
      <c r="I92" s="254"/>
      <c r="J92" s="255"/>
      <c r="K92" s="254">
        <v>10</v>
      </c>
      <c r="L92" s="253">
        <v>10</v>
      </c>
      <c r="M92" s="253"/>
      <c r="N92" s="255"/>
      <c r="O92" s="635">
        <f t="shared" si="32"/>
        <v>10</v>
      </c>
      <c r="P92" s="254"/>
      <c r="Q92" s="253"/>
      <c r="R92" s="253"/>
      <c r="S92" s="254"/>
      <c r="T92" s="253"/>
      <c r="U92" s="253"/>
    </row>
    <row r="93" spans="1:21" ht="15.75">
      <c r="A93" s="698"/>
      <c r="B93" s="698"/>
      <c r="C93" s="698"/>
      <c r="D93" s="698"/>
      <c r="E93" s="698"/>
      <c r="F93" s="699"/>
      <c r="G93" s="699"/>
      <c r="H93" s="216" t="s">
        <v>149</v>
      </c>
      <c r="I93" s="254">
        <v>74.731999999999999</v>
      </c>
      <c r="J93" s="255">
        <v>1.355</v>
      </c>
      <c r="K93" s="254">
        <v>50</v>
      </c>
      <c r="L93" s="253"/>
      <c r="M93" s="253"/>
      <c r="N93" s="255">
        <v>9.9</v>
      </c>
      <c r="O93" s="635">
        <f t="shared" si="32"/>
        <v>124.732</v>
      </c>
      <c r="P93" s="254"/>
      <c r="Q93" s="253"/>
      <c r="R93" s="253"/>
      <c r="S93" s="254"/>
      <c r="T93" s="253"/>
      <c r="U93" s="253"/>
    </row>
    <row r="94" spans="1:21" ht="47.25">
      <c r="A94" s="698"/>
      <c r="B94" s="698"/>
      <c r="C94" s="698"/>
      <c r="D94" s="698"/>
      <c r="E94" s="699"/>
      <c r="F94" s="278" t="s">
        <v>185</v>
      </c>
      <c r="G94" s="259"/>
      <c r="H94" s="216" t="s">
        <v>8</v>
      </c>
      <c r="I94" s="264">
        <f t="shared" ref="I94:U94" si="33">SUM(I88:I93)</f>
        <v>74.731999999999999</v>
      </c>
      <c r="J94" s="264">
        <f t="shared" si="33"/>
        <v>1.355</v>
      </c>
      <c r="K94" s="264">
        <f t="shared" si="33"/>
        <v>60</v>
      </c>
      <c r="L94" s="264">
        <f t="shared" si="33"/>
        <v>10</v>
      </c>
      <c r="M94" s="264">
        <f t="shared" si="33"/>
        <v>0</v>
      </c>
      <c r="N94" s="264">
        <f t="shared" si="33"/>
        <v>9.9</v>
      </c>
      <c r="O94" s="636">
        <f t="shared" si="33"/>
        <v>134.732</v>
      </c>
      <c r="P94" s="250">
        <f t="shared" si="33"/>
        <v>0</v>
      </c>
      <c r="Q94" s="264">
        <f t="shared" si="33"/>
        <v>0</v>
      </c>
      <c r="R94" s="264">
        <f t="shared" si="33"/>
        <v>0</v>
      </c>
      <c r="S94" s="250">
        <f t="shared" si="33"/>
        <v>0</v>
      </c>
      <c r="T94" s="264">
        <f t="shared" si="33"/>
        <v>0</v>
      </c>
      <c r="U94" s="264">
        <f t="shared" si="33"/>
        <v>0</v>
      </c>
    </row>
    <row r="95" spans="1:21" ht="15.75">
      <c r="A95" s="698"/>
      <c r="B95" s="698"/>
      <c r="C95" s="698"/>
      <c r="D95" s="698"/>
      <c r="E95" s="700" t="s">
        <v>186</v>
      </c>
      <c r="F95" s="719" t="s">
        <v>187</v>
      </c>
      <c r="G95" s="721">
        <v>188714469</v>
      </c>
      <c r="H95" s="216" t="s">
        <v>145</v>
      </c>
      <c r="I95" s="258"/>
      <c r="J95" s="282"/>
      <c r="K95" s="258"/>
      <c r="L95" s="281"/>
      <c r="M95" s="281"/>
      <c r="N95" s="282"/>
      <c r="O95" s="635">
        <f t="shared" ref="O95:O100" si="34">I95+K95</f>
        <v>0</v>
      </c>
      <c r="P95" s="258"/>
      <c r="Q95" s="281"/>
      <c r="R95" s="281"/>
      <c r="S95" s="258"/>
      <c r="T95" s="281"/>
      <c r="U95" s="281"/>
    </row>
    <row r="96" spans="1:21" ht="15.75">
      <c r="A96" s="698"/>
      <c r="B96" s="698"/>
      <c r="C96" s="698"/>
      <c r="D96" s="698"/>
      <c r="E96" s="698"/>
      <c r="F96" s="698"/>
      <c r="G96" s="698"/>
      <c r="H96" s="216" t="s">
        <v>146</v>
      </c>
      <c r="I96" s="258"/>
      <c r="J96" s="282"/>
      <c r="K96" s="258"/>
      <c r="L96" s="281"/>
      <c r="M96" s="281"/>
      <c r="N96" s="282"/>
      <c r="O96" s="635">
        <f t="shared" si="34"/>
        <v>0</v>
      </c>
      <c r="P96" s="258"/>
      <c r="Q96" s="281"/>
      <c r="R96" s="281"/>
      <c r="S96" s="258"/>
      <c r="T96" s="281"/>
      <c r="U96" s="281"/>
    </row>
    <row r="97" spans="1:21" ht="15.75">
      <c r="A97" s="698"/>
      <c r="B97" s="698"/>
      <c r="C97" s="698"/>
      <c r="D97" s="698"/>
      <c r="E97" s="698"/>
      <c r="F97" s="698"/>
      <c r="G97" s="698"/>
      <c r="H97" s="216" t="s">
        <v>147</v>
      </c>
      <c r="I97" s="258"/>
      <c r="J97" s="282"/>
      <c r="K97" s="258"/>
      <c r="L97" s="281"/>
      <c r="M97" s="281"/>
      <c r="N97" s="282"/>
      <c r="O97" s="635">
        <f t="shared" si="34"/>
        <v>0</v>
      </c>
      <c r="P97" s="258"/>
      <c r="Q97" s="281"/>
      <c r="R97" s="281"/>
      <c r="S97" s="258"/>
      <c r="T97" s="281"/>
      <c r="U97" s="281"/>
    </row>
    <row r="98" spans="1:21" ht="15.75">
      <c r="A98" s="698"/>
      <c r="B98" s="698"/>
      <c r="C98" s="698"/>
      <c r="D98" s="698"/>
      <c r="E98" s="698"/>
      <c r="F98" s="698"/>
      <c r="G98" s="698"/>
      <c r="H98" s="216" t="s">
        <v>148</v>
      </c>
      <c r="I98" s="258"/>
      <c r="J98" s="282"/>
      <c r="K98" s="258"/>
      <c r="L98" s="281"/>
      <c r="M98" s="281"/>
      <c r="N98" s="282"/>
      <c r="O98" s="635">
        <f t="shared" si="34"/>
        <v>0</v>
      </c>
      <c r="P98" s="258"/>
      <c r="Q98" s="281"/>
      <c r="R98" s="281"/>
      <c r="S98" s="258"/>
      <c r="T98" s="281"/>
      <c r="U98" s="281"/>
    </row>
    <row r="99" spans="1:21" ht="15.75">
      <c r="A99" s="698"/>
      <c r="B99" s="698"/>
      <c r="C99" s="698"/>
      <c r="D99" s="698"/>
      <c r="E99" s="698"/>
      <c r="F99" s="698"/>
      <c r="G99" s="698"/>
      <c r="H99" s="216" t="s">
        <v>5</v>
      </c>
      <c r="I99" s="258"/>
      <c r="J99" s="282"/>
      <c r="K99" s="258">
        <v>50</v>
      </c>
      <c r="L99" s="281">
        <v>50</v>
      </c>
      <c r="M99" s="281"/>
      <c r="N99" s="282"/>
      <c r="O99" s="635">
        <f t="shared" si="34"/>
        <v>50</v>
      </c>
      <c r="P99" s="258">
        <v>80</v>
      </c>
      <c r="Q99" s="281">
        <v>80</v>
      </c>
      <c r="R99" s="281"/>
      <c r="S99" s="258">
        <v>80</v>
      </c>
      <c r="T99" s="281">
        <v>80</v>
      </c>
      <c r="U99" s="281"/>
    </row>
    <row r="100" spans="1:21" ht="15.75">
      <c r="A100" s="698"/>
      <c r="B100" s="698"/>
      <c r="C100" s="698"/>
      <c r="D100" s="698"/>
      <c r="E100" s="698"/>
      <c r="F100" s="699"/>
      <c r="G100" s="699"/>
      <c r="H100" s="216" t="s">
        <v>149</v>
      </c>
      <c r="I100" s="258"/>
      <c r="J100" s="282"/>
      <c r="K100" s="258">
        <v>280</v>
      </c>
      <c r="L100" s="281"/>
      <c r="M100" s="281"/>
      <c r="N100" s="282"/>
      <c r="O100" s="635">
        <f t="shared" si="34"/>
        <v>280</v>
      </c>
      <c r="P100" s="258">
        <v>400</v>
      </c>
      <c r="Q100" s="281"/>
      <c r="R100" s="281"/>
      <c r="S100" s="258">
        <v>400</v>
      </c>
      <c r="T100" s="281"/>
      <c r="U100" s="281"/>
    </row>
    <row r="101" spans="1:21" ht="47.25">
      <c r="A101" s="698"/>
      <c r="B101" s="698"/>
      <c r="C101" s="698"/>
      <c r="D101" s="698"/>
      <c r="E101" s="699"/>
      <c r="F101" s="278" t="s">
        <v>188</v>
      </c>
      <c r="G101" s="280"/>
      <c r="H101" s="216" t="s">
        <v>8</v>
      </c>
      <c r="I101" s="250">
        <f t="shared" ref="I101:U101" si="35">SUM(I95:I100)</f>
        <v>0</v>
      </c>
      <c r="J101" s="250">
        <f t="shared" si="35"/>
        <v>0</v>
      </c>
      <c r="K101" s="250">
        <f t="shared" si="35"/>
        <v>330</v>
      </c>
      <c r="L101" s="250">
        <f t="shared" si="35"/>
        <v>50</v>
      </c>
      <c r="M101" s="250">
        <f t="shared" si="35"/>
        <v>0</v>
      </c>
      <c r="N101" s="250">
        <f t="shared" si="35"/>
        <v>0</v>
      </c>
      <c r="O101" s="636">
        <f t="shared" si="35"/>
        <v>330</v>
      </c>
      <c r="P101" s="250">
        <f t="shared" si="35"/>
        <v>480</v>
      </c>
      <c r="Q101" s="250">
        <f t="shared" si="35"/>
        <v>80</v>
      </c>
      <c r="R101" s="250">
        <f t="shared" si="35"/>
        <v>0</v>
      </c>
      <c r="S101" s="250">
        <f t="shared" si="35"/>
        <v>480</v>
      </c>
      <c r="T101" s="250">
        <f t="shared" si="35"/>
        <v>80</v>
      </c>
      <c r="U101" s="250">
        <f t="shared" si="35"/>
        <v>0</v>
      </c>
    </row>
    <row r="102" spans="1:21" ht="15.75">
      <c r="A102" s="698"/>
      <c r="B102" s="698"/>
      <c r="C102" s="698"/>
      <c r="D102" s="698"/>
      <c r="E102" s="700" t="s">
        <v>189</v>
      </c>
      <c r="F102" s="710" t="s">
        <v>190</v>
      </c>
      <c r="G102" s="697">
        <v>188714469</v>
      </c>
      <c r="H102" s="216" t="s">
        <v>145</v>
      </c>
      <c r="I102" s="254"/>
      <c r="J102" s="255"/>
      <c r="K102" s="254"/>
      <c r="L102" s="253"/>
      <c r="M102" s="253"/>
      <c r="N102" s="255"/>
      <c r="O102" s="635">
        <f t="shared" ref="O102:O107" si="36">I102+K102</f>
        <v>0</v>
      </c>
      <c r="P102" s="254">
        <v>1</v>
      </c>
      <c r="Q102" s="253"/>
      <c r="R102" s="253"/>
      <c r="S102" s="254">
        <v>1</v>
      </c>
      <c r="T102" s="253"/>
      <c r="U102" s="253"/>
    </row>
    <row r="103" spans="1:21" ht="15.75" customHeight="1">
      <c r="A103" s="698"/>
      <c r="B103" s="698"/>
      <c r="C103" s="698"/>
      <c r="D103" s="698"/>
      <c r="E103" s="698"/>
      <c r="F103" s="698"/>
      <c r="G103" s="698"/>
      <c r="H103" s="216" t="s">
        <v>146</v>
      </c>
      <c r="I103" s="254"/>
      <c r="J103" s="255"/>
      <c r="K103" s="254"/>
      <c r="L103" s="253"/>
      <c r="M103" s="253"/>
      <c r="N103" s="255"/>
      <c r="O103" s="635">
        <f t="shared" si="36"/>
        <v>0</v>
      </c>
      <c r="P103" s="254"/>
      <c r="Q103" s="253"/>
      <c r="R103" s="253"/>
      <c r="S103" s="254"/>
      <c r="T103" s="253"/>
      <c r="U103" s="253"/>
    </row>
    <row r="104" spans="1:21" ht="15.75">
      <c r="A104" s="698"/>
      <c r="B104" s="698"/>
      <c r="C104" s="698"/>
      <c r="D104" s="698"/>
      <c r="E104" s="698"/>
      <c r="F104" s="698"/>
      <c r="G104" s="698"/>
      <c r="H104" s="216" t="s">
        <v>147</v>
      </c>
      <c r="I104" s="254"/>
      <c r="J104" s="255"/>
      <c r="K104" s="254"/>
      <c r="L104" s="253"/>
      <c r="M104" s="253"/>
      <c r="N104" s="255"/>
      <c r="O104" s="635">
        <f t="shared" si="36"/>
        <v>0</v>
      </c>
      <c r="P104" s="254"/>
      <c r="Q104" s="253"/>
      <c r="R104" s="253"/>
      <c r="S104" s="254"/>
      <c r="T104" s="253"/>
      <c r="U104" s="253"/>
    </row>
    <row r="105" spans="1:21" ht="15.75">
      <c r="A105" s="698"/>
      <c r="B105" s="698"/>
      <c r="C105" s="698"/>
      <c r="D105" s="698"/>
      <c r="E105" s="698"/>
      <c r="F105" s="698"/>
      <c r="G105" s="698"/>
      <c r="H105" s="216" t="s">
        <v>148</v>
      </c>
      <c r="I105" s="254"/>
      <c r="J105" s="255"/>
      <c r="K105" s="254"/>
      <c r="L105" s="253"/>
      <c r="M105" s="253"/>
      <c r="N105" s="255"/>
      <c r="O105" s="635">
        <f t="shared" si="36"/>
        <v>0</v>
      </c>
      <c r="P105" s="254"/>
      <c r="Q105" s="253"/>
      <c r="R105" s="253"/>
      <c r="S105" s="254"/>
      <c r="T105" s="253"/>
      <c r="U105" s="253"/>
    </row>
    <row r="106" spans="1:21" ht="15.75">
      <c r="A106" s="698"/>
      <c r="B106" s="698"/>
      <c r="C106" s="698"/>
      <c r="D106" s="698"/>
      <c r="E106" s="698"/>
      <c r="F106" s="698"/>
      <c r="G106" s="698"/>
      <c r="H106" s="216" t="s">
        <v>5</v>
      </c>
      <c r="I106" s="254"/>
      <c r="J106" s="255"/>
      <c r="K106" s="254">
        <v>5</v>
      </c>
      <c r="L106" s="253">
        <v>5</v>
      </c>
      <c r="M106" s="253"/>
      <c r="N106" s="255"/>
      <c r="O106" s="635">
        <f t="shared" si="36"/>
        <v>5</v>
      </c>
      <c r="P106" s="254"/>
      <c r="Q106" s="253"/>
      <c r="R106" s="253"/>
      <c r="S106" s="254"/>
      <c r="T106" s="253"/>
      <c r="U106" s="253"/>
    </row>
    <row r="107" spans="1:21" ht="15.75">
      <c r="A107" s="698"/>
      <c r="B107" s="698"/>
      <c r="C107" s="698"/>
      <c r="D107" s="698"/>
      <c r="E107" s="698"/>
      <c r="F107" s="699"/>
      <c r="G107" s="699"/>
      <c r="H107" s="216" t="s">
        <v>149</v>
      </c>
      <c r="I107" s="254"/>
      <c r="J107" s="255"/>
      <c r="K107" s="254"/>
      <c r="L107" s="253"/>
      <c r="M107" s="253"/>
      <c r="N107" s="255"/>
      <c r="O107" s="635">
        <f t="shared" si="36"/>
        <v>0</v>
      </c>
      <c r="P107" s="254"/>
      <c r="Q107" s="253"/>
      <c r="R107" s="253"/>
      <c r="S107" s="254"/>
      <c r="T107" s="253"/>
      <c r="U107" s="253"/>
    </row>
    <row r="108" spans="1:21" ht="63">
      <c r="A108" s="698"/>
      <c r="B108" s="698"/>
      <c r="C108" s="698"/>
      <c r="D108" s="698"/>
      <c r="E108" s="699"/>
      <c r="F108" s="278" t="s">
        <v>191</v>
      </c>
      <c r="G108" s="259"/>
      <c r="H108" s="216" t="s">
        <v>8</v>
      </c>
      <c r="I108" s="264">
        <f t="shared" ref="I108:U108" si="37">SUM(I102:I107)</f>
        <v>0</v>
      </c>
      <c r="J108" s="264">
        <f t="shared" si="37"/>
        <v>0</v>
      </c>
      <c r="K108" s="264">
        <f t="shared" si="37"/>
        <v>5</v>
      </c>
      <c r="L108" s="264">
        <f t="shared" si="37"/>
        <v>5</v>
      </c>
      <c r="M108" s="264">
        <f t="shared" si="37"/>
        <v>0</v>
      </c>
      <c r="N108" s="264">
        <f t="shared" si="37"/>
        <v>0</v>
      </c>
      <c r="O108" s="636">
        <f t="shared" si="37"/>
        <v>5</v>
      </c>
      <c r="P108" s="250">
        <f t="shared" si="37"/>
        <v>1</v>
      </c>
      <c r="Q108" s="264">
        <f t="shared" si="37"/>
        <v>0</v>
      </c>
      <c r="R108" s="264">
        <f t="shared" si="37"/>
        <v>0</v>
      </c>
      <c r="S108" s="250">
        <f t="shared" si="37"/>
        <v>1</v>
      </c>
      <c r="T108" s="264">
        <f t="shared" si="37"/>
        <v>0</v>
      </c>
      <c r="U108" s="264">
        <f t="shared" si="37"/>
        <v>0</v>
      </c>
    </row>
    <row r="109" spans="1:21" ht="15.75">
      <c r="A109" s="698"/>
      <c r="B109" s="698"/>
      <c r="C109" s="698"/>
      <c r="D109" s="698"/>
      <c r="E109" s="700" t="s">
        <v>192</v>
      </c>
      <c r="F109" s="710" t="s">
        <v>193</v>
      </c>
      <c r="G109" s="697">
        <v>188714469</v>
      </c>
      <c r="H109" s="216" t="s">
        <v>145</v>
      </c>
      <c r="I109" s="254"/>
      <c r="J109" s="255"/>
      <c r="K109" s="254">
        <v>28.5</v>
      </c>
      <c r="L109" s="253"/>
      <c r="M109" s="253"/>
      <c r="N109" s="255"/>
      <c r="O109" s="635">
        <f t="shared" ref="O109:O114" si="38">I109+K109</f>
        <v>28.5</v>
      </c>
      <c r="P109" s="254"/>
      <c r="Q109" s="253"/>
      <c r="R109" s="253"/>
      <c r="S109" s="254"/>
      <c r="T109" s="253"/>
      <c r="U109" s="253"/>
    </row>
    <row r="110" spans="1:21" ht="15.75" customHeight="1">
      <c r="A110" s="698"/>
      <c r="B110" s="698"/>
      <c r="C110" s="698"/>
      <c r="D110" s="698"/>
      <c r="E110" s="698"/>
      <c r="F110" s="698"/>
      <c r="G110" s="698"/>
      <c r="H110" s="216" t="s">
        <v>146</v>
      </c>
      <c r="I110" s="254"/>
      <c r="J110" s="255"/>
      <c r="K110" s="254"/>
      <c r="L110" s="253"/>
      <c r="M110" s="253"/>
      <c r="N110" s="255"/>
      <c r="O110" s="635">
        <f t="shared" si="38"/>
        <v>0</v>
      </c>
      <c r="P110" s="254"/>
      <c r="Q110" s="253"/>
      <c r="R110" s="253"/>
      <c r="S110" s="254"/>
      <c r="T110" s="253"/>
      <c r="U110" s="253"/>
    </row>
    <row r="111" spans="1:21" ht="15.75">
      <c r="A111" s="698"/>
      <c r="B111" s="698"/>
      <c r="C111" s="698"/>
      <c r="D111" s="698"/>
      <c r="E111" s="698"/>
      <c r="F111" s="698"/>
      <c r="G111" s="698"/>
      <c r="H111" s="216" t="s">
        <v>147</v>
      </c>
      <c r="I111" s="254"/>
      <c r="J111" s="255"/>
      <c r="K111" s="254"/>
      <c r="L111" s="253"/>
      <c r="M111" s="253"/>
      <c r="N111" s="255"/>
      <c r="O111" s="635">
        <f t="shared" si="38"/>
        <v>0</v>
      </c>
      <c r="P111" s="254"/>
      <c r="Q111" s="253"/>
      <c r="R111" s="253"/>
      <c r="S111" s="254"/>
      <c r="T111" s="253"/>
      <c r="U111" s="253"/>
    </row>
    <row r="112" spans="1:21" ht="15.75">
      <c r="A112" s="698"/>
      <c r="B112" s="698"/>
      <c r="C112" s="698"/>
      <c r="D112" s="698"/>
      <c r="E112" s="698"/>
      <c r="F112" s="698"/>
      <c r="G112" s="698"/>
      <c r="H112" s="216" t="s">
        <v>148</v>
      </c>
      <c r="I112" s="254"/>
      <c r="J112" s="255"/>
      <c r="K112" s="254"/>
      <c r="L112" s="253"/>
      <c r="M112" s="253"/>
      <c r="N112" s="255"/>
      <c r="O112" s="635">
        <f t="shared" si="38"/>
        <v>0</v>
      </c>
      <c r="P112" s="254"/>
      <c r="Q112" s="253"/>
      <c r="R112" s="253"/>
      <c r="S112" s="254"/>
      <c r="T112" s="253"/>
      <c r="U112" s="253"/>
    </row>
    <row r="113" spans="1:21" ht="15.75">
      <c r="A113" s="698"/>
      <c r="B113" s="698"/>
      <c r="C113" s="698"/>
      <c r="D113" s="698"/>
      <c r="E113" s="698"/>
      <c r="F113" s="698"/>
      <c r="G113" s="698"/>
      <c r="H113" s="216" t="s">
        <v>5</v>
      </c>
      <c r="I113" s="254"/>
      <c r="J113" s="255"/>
      <c r="K113" s="254">
        <v>75</v>
      </c>
      <c r="L113" s="253">
        <v>75</v>
      </c>
      <c r="M113" s="253"/>
      <c r="N113" s="255"/>
      <c r="O113" s="635">
        <f t="shared" si="38"/>
        <v>75</v>
      </c>
      <c r="P113" s="254">
        <v>251.3</v>
      </c>
      <c r="Q113" s="253">
        <v>251.3</v>
      </c>
      <c r="R113" s="253"/>
      <c r="S113" s="254">
        <v>219.2</v>
      </c>
      <c r="T113" s="253">
        <v>219.2</v>
      </c>
      <c r="U113" s="253"/>
    </row>
    <row r="114" spans="1:21" ht="15.75">
      <c r="A114" s="698"/>
      <c r="B114" s="698"/>
      <c r="C114" s="698"/>
      <c r="D114" s="698"/>
      <c r="E114" s="698"/>
      <c r="F114" s="699"/>
      <c r="G114" s="699"/>
      <c r="H114" s="216" t="s">
        <v>149</v>
      </c>
      <c r="I114" s="254"/>
      <c r="J114" s="255"/>
      <c r="K114" s="254"/>
      <c r="L114" s="253"/>
      <c r="M114" s="253"/>
      <c r="N114" s="255"/>
      <c r="O114" s="635">
        <f t="shared" si="38"/>
        <v>0</v>
      </c>
      <c r="P114" s="254">
        <v>1452</v>
      </c>
      <c r="Q114" s="253"/>
      <c r="R114" s="253"/>
      <c r="S114" s="254">
        <v>1428.7</v>
      </c>
      <c r="T114" s="253"/>
      <c r="U114" s="253"/>
    </row>
    <row r="115" spans="1:21" ht="31.5">
      <c r="A115" s="698"/>
      <c r="B115" s="698"/>
      <c r="C115" s="698"/>
      <c r="D115" s="698"/>
      <c r="E115" s="699"/>
      <c r="F115" s="278" t="s">
        <v>194</v>
      </c>
      <c r="G115" s="259"/>
      <c r="H115" s="216" t="s">
        <v>8</v>
      </c>
      <c r="I115" s="264">
        <f t="shared" ref="I115:U115" si="39">SUM(I109:I114)</f>
        <v>0</v>
      </c>
      <c r="J115" s="264">
        <f t="shared" si="39"/>
        <v>0</v>
      </c>
      <c r="K115" s="264">
        <f t="shared" si="39"/>
        <v>103.5</v>
      </c>
      <c r="L115" s="264">
        <f t="shared" si="39"/>
        <v>75</v>
      </c>
      <c r="M115" s="264">
        <f t="shared" si="39"/>
        <v>0</v>
      </c>
      <c r="N115" s="264">
        <f t="shared" si="39"/>
        <v>0</v>
      </c>
      <c r="O115" s="636">
        <f t="shared" si="39"/>
        <v>103.5</v>
      </c>
      <c r="P115" s="250">
        <f t="shared" si="39"/>
        <v>1703.3</v>
      </c>
      <c r="Q115" s="264">
        <f t="shared" si="39"/>
        <v>251.3</v>
      </c>
      <c r="R115" s="264">
        <f t="shared" si="39"/>
        <v>0</v>
      </c>
      <c r="S115" s="250">
        <f t="shared" si="39"/>
        <v>1647.9</v>
      </c>
      <c r="T115" s="264">
        <f t="shared" si="39"/>
        <v>219.2</v>
      </c>
      <c r="U115" s="264">
        <f t="shared" si="39"/>
        <v>0</v>
      </c>
    </row>
    <row r="116" spans="1:21" ht="15.75">
      <c r="A116" s="698"/>
      <c r="B116" s="698"/>
      <c r="C116" s="698"/>
      <c r="D116" s="698"/>
      <c r="E116" s="700" t="s">
        <v>195</v>
      </c>
      <c r="F116" s="710" t="s">
        <v>196</v>
      </c>
      <c r="G116" s="697">
        <v>188714469</v>
      </c>
      <c r="H116" s="216" t="s">
        <v>145</v>
      </c>
      <c r="I116" s="254"/>
      <c r="J116" s="255"/>
      <c r="K116" s="254"/>
      <c r="L116" s="253"/>
      <c r="M116" s="253"/>
      <c r="N116" s="255"/>
      <c r="O116" s="635">
        <f t="shared" ref="O116:O121" si="40">I116+K116</f>
        <v>0</v>
      </c>
      <c r="P116" s="254"/>
      <c r="Q116" s="253"/>
      <c r="R116" s="253"/>
      <c r="S116" s="254"/>
      <c r="T116" s="253"/>
      <c r="U116" s="253"/>
    </row>
    <row r="117" spans="1:21" ht="15.75">
      <c r="A117" s="698"/>
      <c r="B117" s="698"/>
      <c r="C117" s="698"/>
      <c r="D117" s="698"/>
      <c r="E117" s="698"/>
      <c r="F117" s="698"/>
      <c r="G117" s="698"/>
      <c r="H117" s="216" t="s">
        <v>146</v>
      </c>
      <c r="I117" s="254"/>
      <c r="J117" s="255"/>
      <c r="K117" s="254"/>
      <c r="L117" s="253"/>
      <c r="M117" s="253"/>
      <c r="N117" s="255"/>
      <c r="O117" s="635">
        <f t="shared" si="40"/>
        <v>0</v>
      </c>
      <c r="P117" s="254"/>
      <c r="Q117" s="253"/>
      <c r="R117" s="253"/>
      <c r="S117" s="254"/>
      <c r="T117" s="253"/>
      <c r="U117" s="253"/>
    </row>
    <row r="118" spans="1:21" ht="15.75">
      <c r="A118" s="698"/>
      <c r="B118" s="698"/>
      <c r="C118" s="698"/>
      <c r="D118" s="698"/>
      <c r="E118" s="698"/>
      <c r="F118" s="698"/>
      <c r="G118" s="698"/>
      <c r="H118" s="216" t="s">
        <v>147</v>
      </c>
      <c r="I118" s="254"/>
      <c r="J118" s="255"/>
      <c r="K118" s="254"/>
      <c r="L118" s="253"/>
      <c r="M118" s="253"/>
      <c r="N118" s="255"/>
      <c r="O118" s="635">
        <f t="shared" si="40"/>
        <v>0</v>
      </c>
      <c r="P118" s="254"/>
      <c r="Q118" s="253"/>
      <c r="R118" s="253"/>
      <c r="S118" s="254"/>
      <c r="T118" s="253"/>
      <c r="U118" s="253"/>
    </row>
    <row r="119" spans="1:21" ht="15.75">
      <c r="A119" s="698"/>
      <c r="B119" s="698"/>
      <c r="C119" s="698"/>
      <c r="D119" s="698"/>
      <c r="E119" s="698"/>
      <c r="F119" s="698"/>
      <c r="G119" s="698"/>
      <c r="H119" s="216" t="s">
        <v>148</v>
      </c>
      <c r="I119" s="254"/>
      <c r="J119" s="255"/>
      <c r="K119" s="254"/>
      <c r="L119" s="253"/>
      <c r="M119" s="253"/>
      <c r="N119" s="255"/>
      <c r="O119" s="635">
        <f t="shared" si="40"/>
        <v>0</v>
      </c>
      <c r="P119" s="254"/>
      <c r="Q119" s="253"/>
      <c r="R119" s="253"/>
      <c r="S119" s="254"/>
      <c r="T119" s="253"/>
      <c r="U119" s="253"/>
    </row>
    <row r="120" spans="1:21" ht="15.75">
      <c r="A120" s="698"/>
      <c r="B120" s="698"/>
      <c r="C120" s="698"/>
      <c r="D120" s="698"/>
      <c r="E120" s="698"/>
      <c r="F120" s="698"/>
      <c r="G120" s="698"/>
      <c r="H120" s="216" t="s">
        <v>5</v>
      </c>
      <c r="I120" s="254"/>
      <c r="J120" s="255"/>
      <c r="K120" s="254">
        <v>32</v>
      </c>
      <c r="L120" s="253">
        <v>32</v>
      </c>
      <c r="M120" s="253"/>
      <c r="N120" s="255"/>
      <c r="O120" s="635">
        <f t="shared" si="40"/>
        <v>32</v>
      </c>
      <c r="P120" s="254">
        <v>32.299999999999997</v>
      </c>
      <c r="Q120" s="253">
        <v>32.299999999999997</v>
      </c>
      <c r="R120" s="253"/>
      <c r="S120" s="254"/>
      <c r="T120" s="253"/>
      <c r="U120" s="253"/>
    </row>
    <row r="121" spans="1:21" ht="15.75">
      <c r="A121" s="698"/>
      <c r="B121" s="698"/>
      <c r="C121" s="698"/>
      <c r="D121" s="698"/>
      <c r="E121" s="698"/>
      <c r="F121" s="699"/>
      <c r="G121" s="699"/>
      <c r="H121" s="216" t="s">
        <v>149</v>
      </c>
      <c r="I121" s="254"/>
      <c r="J121" s="255"/>
      <c r="K121" s="254"/>
      <c r="L121" s="253"/>
      <c r="M121" s="253"/>
      <c r="N121" s="255"/>
      <c r="O121" s="635">
        <f t="shared" si="40"/>
        <v>0</v>
      </c>
      <c r="P121" s="254">
        <v>200</v>
      </c>
      <c r="Q121" s="253"/>
      <c r="R121" s="253"/>
      <c r="S121" s="254">
        <v>34.299999999999997</v>
      </c>
      <c r="T121" s="253"/>
      <c r="U121" s="253"/>
    </row>
    <row r="122" spans="1:21" ht="31.5">
      <c r="A122" s="698"/>
      <c r="B122" s="698"/>
      <c r="C122" s="698"/>
      <c r="D122" s="698"/>
      <c r="E122" s="699"/>
      <c r="F122" s="278" t="s">
        <v>197</v>
      </c>
      <c r="G122" s="259"/>
      <c r="H122" s="216" t="s">
        <v>8</v>
      </c>
      <c r="I122" s="264">
        <f t="shared" ref="I122:U122" si="41">SUM(I116:I121)</f>
        <v>0</v>
      </c>
      <c r="J122" s="264">
        <f t="shared" si="41"/>
        <v>0</v>
      </c>
      <c r="K122" s="264">
        <f t="shared" si="41"/>
        <v>32</v>
      </c>
      <c r="L122" s="264">
        <f t="shared" si="41"/>
        <v>32</v>
      </c>
      <c r="M122" s="264">
        <f t="shared" si="41"/>
        <v>0</v>
      </c>
      <c r="N122" s="264">
        <f t="shared" si="41"/>
        <v>0</v>
      </c>
      <c r="O122" s="636">
        <f t="shared" si="41"/>
        <v>32</v>
      </c>
      <c r="P122" s="250">
        <f t="shared" si="41"/>
        <v>232.3</v>
      </c>
      <c r="Q122" s="264">
        <f t="shared" si="41"/>
        <v>32.299999999999997</v>
      </c>
      <c r="R122" s="264">
        <f t="shared" si="41"/>
        <v>0</v>
      </c>
      <c r="S122" s="250">
        <f t="shared" si="41"/>
        <v>34.299999999999997</v>
      </c>
      <c r="T122" s="264">
        <f t="shared" si="41"/>
        <v>0</v>
      </c>
      <c r="U122" s="264">
        <f t="shared" si="41"/>
        <v>0</v>
      </c>
    </row>
    <row r="123" spans="1:21" ht="15.75">
      <c r="A123" s="698"/>
      <c r="B123" s="698"/>
      <c r="C123" s="698"/>
      <c r="D123" s="698"/>
      <c r="E123" s="700" t="s">
        <v>198</v>
      </c>
      <c r="F123" s="701" t="s">
        <v>199</v>
      </c>
      <c r="G123" s="697">
        <v>188714469</v>
      </c>
      <c r="H123" s="216" t="s">
        <v>145</v>
      </c>
      <c r="I123" s="254"/>
      <c r="J123" s="255"/>
      <c r="K123" s="254"/>
      <c r="L123" s="253"/>
      <c r="M123" s="253"/>
      <c r="N123" s="255"/>
      <c r="O123" s="635">
        <f t="shared" ref="O123:O128" si="42">I123+K123</f>
        <v>0</v>
      </c>
      <c r="P123" s="254"/>
      <c r="Q123" s="253"/>
      <c r="R123" s="253"/>
      <c r="S123" s="254"/>
      <c r="T123" s="253"/>
      <c r="U123" s="253"/>
    </row>
    <row r="124" spans="1:21" ht="15.75" customHeight="1">
      <c r="A124" s="698"/>
      <c r="B124" s="698"/>
      <c r="C124" s="698"/>
      <c r="D124" s="698"/>
      <c r="E124" s="698"/>
      <c r="F124" s="698"/>
      <c r="G124" s="698"/>
      <c r="H124" s="216" t="s">
        <v>146</v>
      </c>
      <c r="I124" s="254"/>
      <c r="J124" s="255"/>
      <c r="K124" s="254"/>
      <c r="L124" s="253"/>
      <c r="M124" s="253"/>
      <c r="N124" s="255"/>
      <c r="O124" s="635">
        <f t="shared" si="42"/>
        <v>0</v>
      </c>
      <c r="P124" s="254"/>
      <c r="Q124" s="253"/>
      <c r="R124" s="253"/>
      <c r="S124" s="254"/>
      <c r="T124" s="253"/>
      <c r="U124" s="253"/>
    </row>
    <row r="125" spans="1:21" ht="15.75">
      <c r="A125" s="698"/>
      <c r="B125" s="698"/>
      <c r="C125" s="698"/>
      <c r="D125" s="698"/>
      <c r="E125" s="698"/>
      <c r="F125" s="698"/>
      <c r="G125" s="698"/>
      <c r="H125" s="216" t="s">
        <v>147</v>
      </c>
      <c r="I125" s="254"/>
      <c r="J125" s="255"/>
      <c r="K125" s="254"/>
      <c r="L125" s="253"/>
      <c r="M125" s="253"/>
      <c r="N125" s="255"/>
      <c r="O125" s="635">
        <f t="shared" si="42"/>
        <v>0</v>
      </c>
      <c r="P125" s="254"/>
      <c r="Q125" s="253"/>
      <c r="R125" s="253"/>
      <c r="S125" s="254"/>
      <c r="T125" s="253"/>
      <c r="U125" s="253"/>
    </row>
    <row r="126" spans="1:21" ht="15.75">
      <c r="A126" s="698"/>
      <c r="B126" s="698"/>
      <c r="C126" s="698"/>
      <c r="D126" s="698"/>
      <c r="E126" s="698"/>
      <c r="F126" s="698"/>
      <c r="G126" s="698"/>
      <c r="H126" s="216" t="s">
        <v>148</v>
      </c>
      <c r="I126" s="254"/>
      <c r="J126" s="255"/>
      <c r="K126" s="254"/>
      <c r="L126" s="253"/>
      <c r="M126" s="253"/>
      <c r="N126" s="255"/>
      <c r="O126" s="635">
        <f t="shared" si="42"/>
        <v>0</v>
      </c>
      <c r="P126" s="254"/>
      <c r="Q126" s="253"/>
      <c r="R126" s="253"/>
      <c r="S126" s="254"/>
      <c r="T126" s="253"/>
      <c r="U126" s="253"/>
    </row>
    <row r="127" spans="1:21" ht="15.75">
      <c r="A127" s="698"/>
      <c r="B127" s="698"/>
      <c r="C127" s="698"/>
      <c r="D127" s="698"/>
      <c r="E127" s="698"/>
      <c r="F127" s="698"/>
      <c r="G127" s="698"/>
      <c r="H127" s="216" t="s">
        <v>5</v>
      </c>
      <c r="I127" s="254"/>
      <c r="J127" s="255"/>
      <c r="K127" s="254">
        <v>238.1</v>
      </c>
      <c r="L127" s="253">
        <v>140</v>
      </c>
      <c r="M127" s="253">
        <v>98.1</v>
      </c>
      <c r="N127" s="255"/>
      <c r="O127" s="635">
        <f t="shared" si="42"/>
        <v>238.1</v>
      </c>
      <c r="P127" s="254">
        <v>300</v>
      </c>
      <c r="Q127" s="253">
        <v>300</v>
      </c>
      <c r="R127" s="253"/>
      <c r="S127" s="254">
        <v>316.8</v>
      </c>
      <c r="T127" s="253">
        <v>316.8</v>
      </c>
      <c r="U127" s="253"/>
    </row>
    <row r="128" spans="1:21" ht="15.75">
      <c r="A128" s="698"/>
      <c r="B128" s="698"/>
      <c r="C128" s="698"/>
      <c r="D128" s="698"/>
      <c r="E128" s="698"/>
      <c r="F128" s="699"/>
      <c r="G128" s="699"/>
      <c r="H128" s="216" t="s">
        <v>149</v>
      </c>
      <c r="I128" s="254"/>
      <c r="J128" s="255"/>
      <c r="K128" s="279"/>
      <c r="L128" s="253"/>
      <c r="M128" s="253"/>
      <c r="N128" s="255"/>
      <c r="O128" s="635">
        <f t="shared" si="42"/>
        <v>0</v>
      </c>
      <c r="P128" s="254">
        <v>1700</v>
      </c>
      <c r="Q128" s="253"/>
      <c r="R128" s="253"/>
      <c r="S128" s="254">
        <v>1554.9</v>
      </c>
      <c r="T128" s="253"/>
      <c r="U128" s="253"/>
    </row>
    <row r="129" spans="1:21" ht="31.5">
      <c r="A129" s="698"/>
      <c r="B129" s="698"/>
      <c r="C129" s="698"/>
      <c r="D129" s="698"/>
      <c r="E129" s="699"/>
      <c r="F129" s="278" t="s">
        <v>200</v>
      </c>
      <c r="G129" s="259"/>
      <c r="H129" s="216" t="s">
        <v>8</v>
      </c>
      <c r="I129" s="264">
        <f t="shared" ref="I129:U129" si="43">SUM(I123:I128)</f>
        <v>0</v>
      </c>
      <c r="J129" s="264">
        <f t="shared" si="43"/>
        <v>0</v>
      </c>
      <c r="K129" s="264">
        <f t="shared" si="43"/>
        <v>238.1</v>
      </c>
      <c r="L129" s="264">
        <f t="shared" si="43"/>
        <v>140</v>
      </c>
      <c r="M129" s="264">
        <f t="shared" si="43"/>
        <v>98.1</v>
      </c>
      <c r="N129" s="264">
        <f t="shared" si="43"/>
        <v>0</v>
      </c>
      <c r="O129" s="636">
        <f t="shared" si="43"/>
        <v>238.1</v>
      </c>
      <c r="P129" s="250">
        <f t="shared" si="43"/>
        <v>2000</v>
      </c>
      <c r="Q129" s="264">
        <f t="shared" si="43"/>
        <v>300</v>
      </c>
      <c r="R129" s="264">
        <f t="shared" si="43"/>
        <v>0</v>
      </c>
      <c r="S129" s="250">
        <f t="shared" si="43"/>
        <v>1871.7</v>
      </c>
      <c r="T129" s="264">
        <f t="shared" si="43"/>
        <v>316.8</v>
      </c>
      <c r="U129" s="264">
        <f t="shared" si="43"/>
        <v>0</v>
      </c>
    </row>
    <row r="130" spans="1:21" ht="15.75">
      <c r="A130" s="698"/>
      <c r="B130" s="698"/>
      <c r="C130" s="698"/>
      <c r="D130" s="698"/>
      <c r="E130" s="700" t="s">
        <v>201</v>
      </c>
      <c r="F130" s="701" t="s">
        <v>202</v>
      </c>
      <c r="G130" s="697">
        <v>188714469</v>
      </c>
      <c r="H130" s="216" t="s">
        <v>145</v>
      </c>
      <c r="I130" s="254"/>
      <c r="J130" s="255"/>
      <c r="K130" s="254"/>
      <c r="L130" s="253"/>
      <c r="M130" s="253"/>
      <c r="N130" s="255"/>
      <c r="O130" s="635">
        <f t="shared" ref="O130:O135" si="44">I130+K130</f>
        <v>0</v>
      </c>
      <c r="P130" s="254"/>
      <c r="Q130" s="253"/>
      <c r="R130" s="253"/>
      <c r="S130" s="254"/>
      <c r="T130" s="253"/>
      <c r="U130" s="253"/>
    </row>
    <row r="131" spans="1:21" ht="15.75">
      <c r="A131" s="698"/>
      <c r="B131" s="698"/>
      <c r="C131" s="698"/>
      <c r="D131" s="698"/>
      <c r="E131" s="698"/>
      <c r="F131" s="698"/>
      <c r="G131" s="698"/>
      <c r="H131" s="216" t="s">
        <v>146</v>
      </c>
      <c r="I131" s="254"/>
      <c r="J131" s="255"/>
      <c r="K131" s="254"/>
      <c r="L131" s="253"/>
      <c r="M131" s="253"/>
      <c r="N131" s="255"/>
      <c r="O131" s="635">
        <f t="shared" si="44"/>
        <v>0</v>
      </c>
      <c r="P131" s="254"/>
      <c r="Q131" s="253"/>
      <c r="R131" s="253"/>
      <c r="S131" s="254"/>
      <c r="T131" s="253"/>
      <c r="U131" s="253"/>
    </row>
    <row r="132" spans="1:21" ht="15.75">
      <c r="A132" s="698"/>
      <c r="B132" s="698"/>
      <c r="C132" s="698"/>
      <c r="D132" s="698"/>
      <c r="E132" s="698"/>
      <c r="F132" s="698"/>
      <c r="G132" s="698"/>
      <c r="H132" s="216" t="s">
        <v>147</v>
      </c>
      <c r="I132" s="254"/>
      <c r="J132" s="255"/>
      <c r="K132" s="254"/>
      <c r="L132" s="253"/>
      <c r="M132" s="253"/>
      <c r="N132" s="255"/>
      <c r="O132" s="635">
        <f t="shared" si="44"/>
        <v>0</v>
      </c>
      <c r="P132" s="254"/>
      <c r="Q132" s="253"/>
      <c r="R132" s="253"/>
      <c r="S132" s="254"/>
      <c r="T132" s="253"/>
      <c r="U132" s="253"/>
    </row>
    <row r="133" spans="1:21" ht="15.75">
      <c r="A133" s="698"/>
      <c r="B133" s="698"/>
      <c r="C133" s="698"/>
      <c r="D133" s="698"/>
      <c r="E133" s="698"/>
      <c r="F133" s="698"/>
      <c r="G133" s="698"/>
      <c r="H133" s="216" t="s">
        <v>148</v>
      </c>
      <c r="I133" s="254"/>
      <c r="J133" s="255"/>
      <c r="K133" s="254"/>
      <c r="L133" s="253"/>
      <c r="M133" s="253"/>
      <c r="N133" s="255"/>
      <c r="O133" s="635">
        <f t="shared" si="44"/>
        <v>0</v>
      </c>
      <c r="P133" s="254"/>
      <c r="Q133" s="253"/>
      <c r="R133" s="253"/>
      <c r="S133" s="254"/>
      <c r="T133" s="253"/>
      <c r="U133" s="253"/>
    </row>
    <row r="134" spans="1:21" ht="15.75">
      <c r="A134" s="698"/>
      <c r="B134" s="698"/>
      <c r="C134" s="698"/>
      <c r="D134" s="698"/>
      <c r="E134" s="698"/>
      <c r="F134" s="698"/>
      <c r="G134" s="698"/>
      <c r="H134" s="216" t="s">
        <v>5</v>
      </c>
      <c r="I134" s="254"/>
      <c r="J134" s="255"/>
      <c r="K134" s="254">
        <v>55</v>
      </c>
      <c r="L134" s="253">
        <v>55</v>
      </c>
      <c r="M134" s="253"/>
      <c r="N134" s="255"/>
      <c r="O134" s="635">
        <f t="shared" si="44"/>
        <v>55</v>
      </c>
      <c r="P134" s="254">
        <v>305</v>
      </c>
      <c r="Q134" s="253">
        <v>305</v>
      </c>
      <c r="R134" s="253"/>
      <c r="S134" s="254">
        <v>250</v>
      </c>
      <c r="T134" s="253">
        <v>250</v>
      </c>
      <c r="U134" s="253"/>
    </row>
    <row r="135" spans="1:21" ht="15.75">
      <c r="A135" s="698"/>
      <c r="B135" s="698"/>
      <c r="C135" s="698"/>
      <c r="D135" s="698"/>
      <c r="E135" s="698"/>
      <c r="F135" s="699"/>
      <c r="G135" s="699"/>
      <c r="H135" s="216" t="s">
        <v>149</v>
      </c>
      <c r="I135" s="254"/>
      <c r="J135" s="255"/>
      <c r="K135" s="254"/>
      <c r="L135" s="253"/>
      <c r="M135" s="253"/>
      <c r="N135" s="255"/>
      <c r="O135" s="635">
        <f t="shared" si="44"/>
        <v>0</v>
      </c>
      <c r="P135" s="254">
        <v>645</v>
      </c>
      <c r="Q135" s="253"/>
      <c r="R135" s="253"/>
      <c r="S135" s="254">
        <v>2500</v>
      </c>
      <c r="T135" s="253"/>
      <c r="U135" s="253"/>
    </row>
    <row r="136" spans="1:21" ht="15.75">
      <c r="A136" s="698"/>
      <c r="B136" s="698"/>
      <c r="C136" s="698"/>
      <c r="D136" s="698"/>
      <c r="E136" s="699"/>
      <c r="F136" s="278" t="s">
        <v>203</v>
      </c>
      <c r="G136" s="259"/>
      <c r="H136" s="216" t="s">
        <v>8</v>
      </c>
      <c r="I136" s="264">
        <f t="shared" ref="I136:U136" si="45">SUM(I130:I135)</f>
        <v>0</v>
      </c>
      <c r="J136" s="264">
        <f t="shared" si="45"/>
        <v>0</v>
      </c>
      <c r="K136" s="264">
        <f t="shared" si="45"/>
        <v>55</v>
      </c>
      <c r="L136" s="264">
        <f t="shared" si="45"/>
        <v>55</v>
      </c>
      <c r="M136" s="264">
        <f t="shared" si="45"/>
        <v>0</v>
      </c>
      <c r="N136" s="264">
        <f t="shared" si="45"/>
        <v>0</v>
      </c>
      <c r="O136" s="636">
        <f t="shared" si="45"/>
        <v>55</v>
      </c>
      <c r="P136" s="250">
        <f t="shared" si="45"/>
        <v>950</v>
      </c>
      <c r="Q136" s="264">
        <f t="shared" si="45"/>
        <v>305</v>
      </c>
      <c r="R136" s="264">
        <f t="shared" si="45"/>
        <v>0</v>
      </c>
      <c r="S136" s="250">
        <f t="shared" si="45"/>
        <v>2750</v>
      </c>
      <c r="T136" s="264">
        <f t="shared" si="45"/>
        <v>250</v>
      </c>
      <c r="U136" s="264">
        <f t="shared" si="45"/>
        <v>0</v>
      </c>
    </row>
    <row r="137" spans="1:21" ht="15.75">
      <c r="A137" s="698"/>
      <c r="B137" s="698"/>
      <c r="C137" s="698"/>
      <c r="D137" s="698"/>
      <c r="E137" s="700" t="s">
        <v>204</v>
      </c>
      <c r="F137" s="701" t="s">
        <v>205</v>
      </c>
      <c r="G137" s="697">
        <v>188714469</v>
      </c>
      <c r="H137" s="216" t="s">
        <v>145</v>
      </c>
      <c r="I137" s="254"/>
      <c r="J137" s="255"/>
      <c r="K137" s="254"/>
      <c r="L137" s="253"/>
      <c r="M137" s="253"/>
      <c r="N137" s="255"/>
      <c r="O137" s="635">
        <f t="shared" ref="O137:O142" si="46">I137+K137</f>
        <v>0</v>
      </c>
      <c r="P137" s="254"/>
      <c r="Q137" s="253"/>
      <c r="R137" s="253"/>
      <c r="S137" s="254"/>
      <c r="T137" s="253"/>
      <c r="U137" s="253"/>
    </row>
    <row r="138" spans="1:21" ht="15.75" customHeight="1">
      <c r="A138" s="698"/>
      <c r="B138" s="698"/>
      <c r="C138" s="698"/>
      <c r="D138" s="698"/>
      <c r="E138" s="698"/>
      <c r="F138" s="698"/>
      <c r="G138" s="698"/>
      <c r="H138" s="216" t="s">
        <v>146</v>
      </c>
      <c r="I138" s="254"/>
      <c r="J138" s="255"/>
      <c r="K138" s="254"/>
      <c r="L138" s="253"/>
      <c r="M138" s="253"/>
      <c r="N138" s="255"/>
      <c r="O138" s="635">
        <f t="shared" si="46"/>
        <v>0</v>
      </c>
      <c r="P138" s="254"/>
      <c r="Q138" s="253"/>
      <c r="R138" s="253"/>
      <c r="S138" s="254"/>
      <c r="T138" s="253"/>
      <c r="U138" s="253"/>
    </row>
    <row r="139" spans="1:21" ht="15.75">
      <c r="A139" s="698"/>
      <c r="B139" s="698"/>
      <c r="C139" s="698"/>
      <c r="D139" s="698"/>
      <c r="E139" s="698"/>
      <c r="F139" s="698"/>
      <c r="G139" s="698"/>
      <c r="H139" s="216" t="s">
        <v>147</v>
      </c>
      <c r="I139" s="254"/>
      <c r="J139" s="255"/>
      <c r="K139" s="254"/>
      <c r="L139" s="253"/>
      <c r="M139" s="253"/>
      <c r="N139" s="255"/>
      <c r="O139" s="635">
        <f t="shared" si="46"/>
        <v>0</v>
      </c>
      <c r="P139" s="254"/>
      <c r="Q139" s="253"/>
      <c r="R139" s="253"/>
      <c r="S139" s="254"/>
      <c r="T139" s="253"/>
      <c r="U139" s="253"/>
    </row>
    <row r="140" spans="1:21" ht="15.75">
      <c r="A140" s="698"/>
      <c r="B140" s="698"/>
      <c r="C140" s="698"/>
      <c r="D140" s="698"/>
      <c r="E140" s="698"/>
      <c r="F140" s="698"/>
      <c r="G140" s="698"/>
      <c r="H140" s="216" t="s">
        <v>148</v>
      </c>
      <c r="I140" s="254"/>
      <c r="J140" s="255"/>
      <c r="K140" s="254"/>
      <c r="L140" s="253"/>
      <c r="M140" s="253"/>
      <c r="N140" s="255"/>
      <c r="O140" s="635">
        <f t="shared" si="46"/>
        <v>0</v>
      </c>
      <c r="P140" s="254"/>
      <c r="Q140" s="253"/>
      <c r="R140" s="253"/>
      <c r="S140" s="254"/>
      <c r="T140" s="253"/>
      <c r="U140" s="253"/>
    </row>
    <row r="141" spans="1:21" ht="15.75">
      <c r="A141" s="698"/>
      <c r="B141" s="698"/>
      <c r="C141" s="698"/>
      <c r="D141" s="698"/>
      <c r="E141" s="698"/>
      <c r="F141" s="698"/>
      <c r="G141" s="698"/>
      <c r="H141" s="216" t="s">
        <v>5</v>
      </c>
      <c r="I141" s="254"/>
      <c r="J141" s="255"/>
      <c r="K141" s="254">
        <v>150</v>
      </c>
      <c r="L141" s="253">
        <v>70</v>
      </c>
      <c r="M141" s="253">
        <v>80</v>
      </c>
      <c r="N141" s="255"/>
      <c r="O141" s="635">
        <f t="shared" si="46"/>
        <v>150</v>
      </c>
      <c r="P141" s="254">
        <v>70</v>
      </c>
      <c r="Q141" s="253">
        <v>70</v>
      </c>
      <c r="R141" s="253"/>
      <c r="S141" s="254">
        <v>22</v>
      </c>
      <c r="T141" s="253">
        <v>22</v>
      </c>
      <c r="U141" s="253"/>
    </row>
    <row r="142" spans="1:21" ht="15.75">
      <c r="A142" s="698"/>
      <c r="B142" s="698"/>
      <c r="C142" s="698"/>
      <c r="D142" s="698"/>
      <c r="E142" s="698"/>
      <c r="F142" s="699"/>
      <c r="G142" s="699"/>
      <c r="H142" s="216" t="s">
        <v>149</v>
      </c>
      <c r="I142" s="254"/>
      <c r="J142" s="255"/>
      <c r="K142" s="254"/>
      <c r="L142" s="253"/>
      <c r="M142" s="253"/>
      <c r="N142" s="255"/>
      <c r="O142" s="635">
        <f t="shared" si="46"/>
        <v>0</v>
      </c>
      <c r="P142" s="254">
        <v>280</v>
      </c>
      <c r="Q142" s="253"/>
      <c r="R142" s="253"/>
      <c r="S142" s="254">
        <v>88</v>
      </c>
      <c r="T142" s="253"/>
      <c r="U142" s="253"/>
    </row>
    <row r="143" spans="1:21" ht="15.75">
      <c r="A143" s="698"/>
      <c r="B143" s="698"/>
      <c r="C143" s="698"/>
      <c r="D143" s="698"/>
      <c r="E143" s="699"/>
      <c r="F143" s="278" t="s">
        <v>206</v>
      </c>
      <c r="G143" s="259"/>
      <c r="H143" s="216" t="s">
        <v>8</v>
      </c>
      <c r="I143" s="264">
        <f t="shared" ref="I143:U143" si="47">SUM(I137:I142)</f>
        <v>0</v>
      </c>
      <c r="J143" s="264">
        <f t="shared" si="47"/>
        <v>0</v>
      </c>
      <c r="K143" s="264">
        <f t="shared" si="47"/>
        <v>150</v>
      </c>
      <c r="L143" s="264">
        <f t="shared" si="47"/>
        <v>70</v>
      </c>
      <c r="M143" s="264">
        <f t="shared" si="47"/>
        <v>80</v>
      </c>
      <c r="N143" s="264">
        <f t="shared" si="47"/>
        <v>0</v>
      </c>
      <c r="O143" s="636">
        <f t="shared" si="47"/>
        <v>150</v>
      </c>
      <c r="P143" s="250">
        <f t="shared" si="47"/>
        <v>350</v>
      </c>
      <c r="Q143" s="264">
        <f t="shared" si="47"/>
        <v>70</v>
      </c>
      <c r="R143" s="264">
        <f t="shared" si="47"/>
        <v>0</v>
      </c>
      <c r="S143" s="250">
        <f t="shared" si="47"/>
        <v>110</v>
      </c>
      <c r="T143" s="264">
        <f t="shared" si="47"/>
        <v>22</v>
      </c>
      <c r="U143" s="264">
        <f t="shared" si="47"/>
        <v>0</v>
      </c>
    </row>
    <row r="144" spans="1:21" ht="15.75">
      <c r="A144" s="698"/>
      <c r="B144" s="698"/>
      <c r="C144" s="698"/>
      <c r="D144" s="698"/>
      <c r="E144" s="700" t="s">
        <v>207</v>
      </c>
      <c r="F144" s="701" t="s">
        <v>208</v>
      </c>
      <c r="G144" s="697">
        <v>188714469</v>
      </c>
      <c r="H144" s="216" t="s">
        <v>145</v>
      </c>
      <c r="I144" s="254"/>
      <c r="J144" s="255"/>
      <c r="K144" s="254"/>
      <c r="L144" s="253"/>
      <c r="M144" s="253"/>
      <c r="N144" s="255"/>
      <c r="O144" s="635">
        <f t="shared" ref="O144:O149" si="48">I144+K144</f>
        <v>0</v>
      </c>
      <c r="P144" s="254">
        <v>1</v>
      </c>
      <c r="Q144" s="253"/>
      <c r="R144" s="253"/>
      <c r="S144" s="254">
        <v>1</v>
      </c>
      <c r="T144" s="253"/>
      <c r="U144" s="253"/>
    </row>
    <row r="145" spans="1:21" ht="15.75" customHeight="1">
      <c r="A145" s="698"/>
      <c r="B145" s="698"/>
      <c r="C145" s="698"/>
      <c r="D145" s="698"/>
      <c r="E145" s="698"/>
      <c r="F145" s="698"/>
      <c r="G145" s="698"/>
      <c r="H145" s="216" t="s">
        <v>146</v>
      </c>
      <c r="I145" s="254"/>
      <c r="J145" s="255"/>
      <c r="K145" s="254"/>
      <c r="L145" s="253"/>
      <c r="M145" s="253"/>
      <c r="N145" s="255"/>
      <c r="O145" s="635">
        <f t="shared" si="48"/>
        <v>0</v>
      </c>
      <c r="P145" s="254"/>
      <c r="Q145" s="253"/>
      <c r="R145" s="253"/>
      <c r="S145" s="254"/>
      <c r="T145" s="253"/>
      <c r="U145" s="253"/>
    </row>
    <row r="146" spans="1:21" ht="15.75">
      <c r="A146" s="698"/>
      <c r="B146" s="698"/>
      <c r="C146" s="698"/>
      <c r="D146" s="698"/>
      <c r="E146" s="698"/>
      <c r="F146" s="698"/>
      <c r="G146" s="698"/>
      <c r="H146" s="216" t="s">
        <v>147</v>
      </c>
      <c r="I146" s="254"/>
      <c r="J146" s="255"/>
      <c r="K146" s="254"/>
      <c r="L146" s="253"/>
      <c r="M146" s="253"/>
      <c r="N146" s="255"/>
      <c r="O146" s="635">
        <f t="shared" si="48"/>
        <v>0</v>
      </c>
      <c r="P146" s="254"/>
      <c r="Q146" s="253"/>
      <c r="R146" s="253"/>
      <c r="S146" s="254"/>
      <c r="T146" s="253"/>
      <c r="U146" s="253"/>
    </row>
    <row r="147" spans="1:21" ht="15.75">
      <c r="A147" s="698"/>
      <c r="B147" s="698"/>
      <c r="C147" s="698"/>
      <c r="D147" s="698"/>
      <c r="E147" s="698"/>
      <c r="F147" s="698"/>
      <c r="G147" s="698"/>
      <c r="H147" s="216" t="s">
        <v>148</v>
      </c>
      <c r="I147" s="254"/>
      <c r="J147" s="255"/>
      <c r="K147" s="254"/>
      <c r="L147" s="253"/>
      <c r="M147" s="253"/>
      <c r="N147" s="255"/>
      <c r="O147" s="635">
        <f t="shared" si="48"/>
        <v>0</v>
      </c>
      <c r="P147" s="254"/>
      <c r="Q147" s="253"/>
      <c r="R147" s="253"/>
      <c r="S147" s="254"/>
      <c r="T147" s="253"/>
      <c r="U147" s="253"/>
    </row>
    <row r="148" spans="1:21" ht="15.75">
      <c r="A148" s="698"/>
      <c r="B148" s="698"/>
      <c r="C148" s="698"/>
      <c r="D148" s="698"/>
      <c r="E148" s="698"/>
      <c r="F148" s="698"/>
      <c r="G148" s="698"/>
      <c r="H148" s="216" t="s">
        <v>5</v>
      </c>
      <c r="I148" s="254"/>
      <c r="J148" s="255"/>
      <c r="K148" s="254">
        <v>5</v>
      </c>
      <c r="L148" s="253">
        <v>5</v>
      </c>
      <c r="M148" s="253"/>
      <c r="N148" s="255"/>
      <c r="O148" s="635">
        <f t="shared" si="48"/>
        <v>5</v>
      </c>
      <c r="P148" s="254"/>
      <c r="Q148" s="253"/>
      <c r="R148" s="253"/>
      <c r="S148" s="254"/>
      <c r="T148" s="253"/>
      <c r="U148" s="253"/>
    </row>
    <row r="149" spans="1:21" ht="15.75">
      <c r="A149" s="698"/>
      <c r="B149" s="698"/>
      <c r="C149" s="698"/>
      <c r="D149" s="698"/>
      <c r="E149" s="698"/>
      <c r="F149" s="699"/>
      <c r="G149" s="699"/>
      <c r="H149" s="216" t="s">
        <v>149</v>
      </c>
      <c r="I149" s="254"/>
      <c r="J149" s="255"/>
      <c r="K149" s="254"/>
      <c r="L149" s="253"/>
      <c r="M149" s="253"/>
      <c r="N149" s="255"/>
      <c r="O149" s="635">
        <f t="shared" si="48"/>
        <v>0</v>
      </c>
      <c r="P149" s="254"/>
      <c r="Q149" s="253"/>
      <c r="R149" s="253"/>
      <c r="S149" s="254"/>
      <c r="T149" s="253"/>
      <c r="U149" s="253"/>
    </row>
    <row r="150" spans="1:21" ht="47.25">
      <c r="A150" s="698"/>
      <c r="B150" s="698"/>
      <c r="C150" s="698"/>
      <c r="D150" s="698"/>
      <c r="E150" s="699"/>
      <c r="F150" s="278" t="s">
        <v>209</v>
      </c>
      <c r="G150" s="259"/>
      <c r="H150" s="216" t="s">
        <v>8</v>
      </c>
      <c r="I150" s="264">
        <f t="shared" ref="I150:U150" si="49">SUM(I144:I149)</f>
        <v>0</v>
      </c>
      <c r="J150" s="264">
        <f t="shared" si="49"/>
        <v>0</v>
      </c>
      <c r="K150" s="264">
        <f t="shared" si="49"/>
        <v>5</v>
      </c>
      <c r="L150" s="264">
        <f t="shared" si="49"/>
        <v>5</v>
      </c>
      <c r="M150" s="264">
        <f t="shared" si="49"/>
        <v>0</v>
      </c>
      <c r="N150" s="264">
        <f t="shared" si="49"/>
        <v>0</v>
      </c>
      <c r="O150" s="636">
        <f t="shared" si="49"/>
        <v>5</v>
      </c>
      <c r="P150" s="250">
        <f t="shared" si="49"/>
        <v>1</v>
      </c>
      <c r="Q150" s="264">
        <f t="shared" si="49"/>
        <v>0</v>
      </c>
      <c r="R150" s="264">
        <f t="shared" si="49"/>
        <v>0</v>
      </c>
      <c r="S150" s="250">
        <f t="shared" si="49"/>
        <v>1</v>
      </c>
      <c r="T150" s="264">
        <f t="shared" si="49"/>
        <v>0</v>
      </c>
      <c r="U150" s="264">
        <f t="shared" si="49"/>
        <v>0</v>
      </c>
    </row>
    <row r="151" spans="1:21" ht="15.75">
      <c r="A151" s="698"/>
      <c r="B151" s="698"/>
      <c r="C151" s="698"/>
      <c r="D151" s="698"/>
      <c r="E151" s="700" t="s">
        <v>210</v>
      </c>
      <c r="F151" s="719" t="s">
        <v>211</v>
      </c>
      <c r="G151" s="697">
        <v>188714469</v>
      </c>
      <c r="H151" s="216" t="s">
        <v>145</v>
      </c>
      <c r="I151" s="254"/>
      <c r="J151" s="255"/>
      <c r="K151" s="254"/>
      <c r="L151" s="253"/>
      <c r="M151" s="253"/>
      <c r="N151" s="255"/>
      <c r="O151" s="635">
        <f t="shared" ref="O151:O156" si="50">I151+K151</f>
        <v>0</v>
      </c>
      <c r="P151" s="254"/>
      <c r="Q151" s="253"/>
      <c r="R151" s="253"/>
      <c r="S151" s="254"/>
      <c r="T151" s="253"/>
      <c r="U151" s="253"/>
    </row>
    <row r="152" spans="1:21" ht="15.75">
      <c r="A152" s="698"/>
      <c r="B152" s="698"/>
      <c r="C152" s="698"/>
      <c r="D152" s="698"/>
      <c r="E152" s="698"/>
      <c r="F152" s="698"/>
      <c r="G152" s="698"/>
      <c r="H152" s="216" t="s">
        <v>146</v>
      </c>
      <c r="I152" s="254"/>
      <c r="J152" s="255"/>
      <c r="K152" s="254"/>
      <c r="L152" s="253"/>
      <c r="M152" s="253"/>
      <c r="N152" s="255"/>
      <c r="O152" s="635">
        <f t="shared" si="50"/>
        <v>0</v>
      </c>
      <c r="P152" s="254"/>
      <c r="Q152" s="253"/>
      <c r="R152" s="253"/>
      <c r="S152" s="254"/>
      <c r="T152" s="253"/>
      <c r="U152" s="253"/>
    </row>
    <row r="153" spans="1:21" ht="15.75">
      <c r="A153" s="698"/>
      <c r="B153" s="698"/>
      <c r="C153" s="698"/>
      <c r="D153" s="698"/>
      <c r="E153" s="698"/>
      <c r="F153" s="698"/>
      <c r="G153" s="698"/>
      <c r="H153" s="216" t="s">
        <v>147</v>
      </c>
      <c r="I153" s="254"/>
      <c r="J153" s="255"/>
      <c r="K153" s="254"/>
      <c r="L153" s="253"/>
      <c r="M153" s="253"/>
      <c r="N153" s="255"/>
      <c r="O153" s="635">
        <f t="shared" si="50"/>
        <v>0</v>
      </c>
      <c r="P153" s="254"/>
      <c r="Q153" s="253"/>
      <c r="R153" s="253"/>
      <c r="S153" s="254"/>
      <c r="T153" s="253"/>
      <c r="U153" s="253"/>
    </row>
    <row r="154" spans="1:21" ht="15.75">
      <c r="A154" s="698"/>
      <c r="B154" s="698"/>
      <c r="C154" s="698"/>
      <c r="D154" s="698"/>
      <c r="E154" s="698"/>
      <c r="F154" s="698"/>
      <c r="G154" s="698"/>
      <c r="H154" s="216" t="s">
        <v>148</v>
      </c>
      <c r="I154" s="254"/>
      <c r="J154" s="255"/>
      <c r="K154" s="254"/>
      <c r="L154" s="253"/>
      <c r="M154" s="253"/>
      <c r="N154" s="255"/>
      <c r="O154" s="635">
        <f t="shared" si="50"/>
        <v>0</v>
      </c>
      <c r="P154" s="254"/>
      <c r="Q154" s="253"/>
      <c r="R154" s="253"/>
      <c r="S154" s="254"/>
      <c r="T154" s="253"/>
      <c r="U154" s="253"/>
    </row>
    <row r="155" spans="1:21" ht="15.75">
      <c r="A155" s="698"/>
      <c r="B155" s="698"/>
      <c r="C155" s="698"/>
      <c r="D155" s="698"/>
      <c r="E155" s="698"/>
      <c r="F155" s="698"/>
      <c r="G155" s="698"/>
      <c r="H155" s="216" t="s">
        <v>5</v>
      </c>
      <c r="I155" s="254"/>
      <c r="J155" s="255"/>
      <c r="K155" s="254">
        <v>165</v>
      </c>
      <c r="L155" s="253">
        <v>165</v>
      </c>
      <c r="M155" s="253"/>
      <c r="N155" s="255"/>
      <c r="O155" s="635">
        <f t="shared" si="50"/>
        <v>165</v>
      </c>
      <c r="P155" s="254"/>
      <c r="Q155" s="253"/>
      <c r="R155" s="253"/>
      <c r="S155" s="254"/>
      <c r="T155" s="253"/>
      <c r="U155" s="253"/>
    </row>
    <row r="156" spans="1:21" ht="15.75">
      <c r="A156" s="698"/>
      <c r="B156" s="698"/>
      <c r="C156" s="698"/>
      <c r="D156" s="698"/>
      <c r="E156" s="698"/>
      <c r="F156" s="699"/>
      <c r="G156" s="699"/>
      <c r="H156" s="216" t="s">
        <v>149</v>
      </c>
      <c r="I156" s="254"/>
      <c r="J156" s="255"/>
      <c r="K156" s="254">
        <v>895</v>
      </c>
      <c r="L156" s="253"/>
      <c r="M156" s="253"/>
      <c r="N156" s="255">
        <v>14</v>
      </c>
      <c r="O156" s="635">
        <f t="shared" si="50"/>
        <v>895</v>
      </c>
      <c r="P156" s="254"/>
      <c r="Q156" s="253"/>
      <c r="R156" s="253"/>
      <c r="S156" s="254"/>
      <c r="T156" s="253"/>
      <c r="U156" s="253"/>
    </row>
    <row r="157" spans="1:21" ht="15.75">
      <c r="A157" s="698"/>
      <c r="B157" s="698"/>
      <c r="C157" s="698"/>
      <c r="D157" s="698"/>
      <c r="E157" s="699"/>
      <c r="F157" s="278" t="s">
        <v>212</v>
      </c>
      <c r="G157" s="259"/>
      <c r="H157" s="216" t="s">
        <v>8</v>
      </c>
      <c r="I157" s="264">
        <f t="shared" ref="I157:U157" si="51">SUM(I151:I156)</f>
        <v>0</v>
      </c>
      <c r="J157" s="264">
        <f t="shared" si="51"/>
        <v>0</v>
      </c>
      <c r="K157" s="264">
        <f t="shared" si="51"/>
        <v>1060</v>
      </c>
      <c r="L157" s="264">
        <f t="shared" si="51"/>
        <v>165</v>
      </c>
      <c r="M157" s="264">
        <f t="shared" si="51"/>
        <v>0</v>
      </c>
      <c r="N157" s="264">
        <f t="shared" si="51"/>
        <v>14</v>
      </c>
      <c r="O157" s="636">
        <f t="shared" si="51"/>
        <v>1060</v>
      </c>
      <c r="P157" s="250">
        <f t="shared" si="51"/>
        <v>0</v>
      </c>
      <c r="Q157" s="264">
        <f t="shared" si="51"/>
        <v>0</v>
      </c>
      <c r="R157" s="264">
        <f t="shared" si="51"/>
        <v>0</v>
      </c>
      <c r="S157" s="250">
        <f t="shared" si="51"/>
        <v>0</v>
      </c>
      <c r="T157" s="264">
        <f t="shared" si="51"/>
        <v>0</v>
      </c>
      <c r="U157" s="264">
        <f t="shared" si="51"/>
        <v>0</v>
      </c>
    </row>
    <row r="158" spans="1:21" ht="15.75">
      <c r="A158" s="698"/>
      <c r="B158" s="698"/>
      <c r="C158" s="698"/>
      <c r="D158" s="698"/>
      <c r="E158" s="700" t="s">
        <v>213</v>
      </c>
      <c r="F158" s="719" t="s">
        <v>214</v>
      </c>
      <c r="G158" s="697">
        <v>188714469</v>
      </c>
      <c r="H158" s="216" t="s">
        <v>145</v>
      </c>
      <c r="I158" s="254"/>
      <c r="J158" s="255"/>
      <c r="K158" s="254">
        <v>30</v>
      </c>
      <c r="L158" s="253"/>
      <c r="M158" s="253"/>
      <c r="N158" s="255"/>
      <c r="O158" s="635">
        <f t="shared" ref="O158:O163" si="52">I158+K158</f>
        <v>30</v>
      </c>
      <c r="P158" s="254"/>
      <c r="Q158" s="253"/>
      <c r="R158" s="253"/>
      <c r="S158" s="254"/>
      <c r="T158" s="253"/>
      <c r="U158" s="253"/>
    </row>
    <row r="159" spans="1:21" ht="15.75" customHeight="1">
      <c r="A159" s="698"/>
      <c r="B159" s="698"/>
      <c r="C159" s="698"/>
      <c r="D159" s="698"/>
      <c r="E159" s="698"/>
      <c r="F159" s="698"/>
      <c r="G159" s="698"/>
      <c r="H159" s="216" t="s">
        <v>146</v>
      </c>
      <c r="I159" s="254"/>
      <c r="J159" s="255"/>
      <c r="K159" s="254"/>
      <c r="L159" s="253"/>
      <c r="M159" s="253"/>
      <c r="N159" s="255"/>
      <c r="O159" s="635">
        <f t="shared" si="52"/>
        <v>0</v>
      </c>
      <c r="P159" s="254"/>
      <c r="Q159" s="253"/>
      <c r="R159" s="253"/>
      <c r="S159" s="254"/>
      <c r="T159" s="253"/>
      <c r="U159" s="253"/>
    </row>
    <row r="160" spans="1:21" ht="15.75">
      <c r="A160" s="698"/>
      <c r="B160" s="698"/>
      <c r="C160" s="698"/>
      <c r="D160" s="698"/>
      <c r="E160" s="698"/>
      <c r="F160" s="698"/>
      <c r="G160" s="698"/>
      <c r="H160" s="216" t="s">
        <v>147</v>
      </c>
      <c r="I160" s="254"/>
      <c r="J160" s="255"/>
      <c r="K160" s="254"/>
      <c r="L160" s="253"/>
      <c r="M160" s="253"/>
      <c r="N160" s="255"/>
      <c r="O160" s="635">
        <f t="shared" si="52"/>
        <v>0</v>
      </c>
      <c r="P160" s="254"/>
      <c r="Q160" s="253"/>
      <c r="R160" s="253"/>
      <c r="S160" s="254"/>
      <c r="T160" s="253"/>
      <c r="U160" s="253"/>
    </row>
    <row r="161" spans="1:21" ht="15.75">
      <c r="A161" s="698"/>
      <c r="B161" s="698"/>
      <c r="C161" s="698"/>
      <c r="D161" s="698"/>
      <c r="E161" s="698"/>
      <c r="F161" s="698"/>
      <c r="G161" s="698"/>
      <c r="H161" s="216" t="s">
        <v>148</v>
      </c>
      <c r="I161" s="254"/>
      <c r="J161" s="255"/>
      <c r="K161" s="254"/>
      <c r="L161" s="253"/>
      <c r="M161" s="253"/>
      <c r="N161" s="255"/>
      <c r="O161" s="635">
        <f t="shared" si="52"/>
        <v>0</v>
      </c>
      <c r="P161" s="254"/>
      <c r="Q161" s="253"/>
      <c r="R161" s="253"/>
      <c r="S161" s="254"/>
      <c r="T161" s="253"/>
      <c r="U161" s="253"/>
    </row>
    <row r="162" spans="1:21" ht="15.75">
      <c r="A162" s="698"/>
      <c r="B162" s="698"/>
      <c r="C162" s="698"/>
      <c r="D162" s="698"/>
      <c r="E162" s="698"/>
      <c r="F162" s="698"/>
      <c r="G162" s="698"/>
      <c r="H162" s="216" t="s">
        <v>5</v>
      </c>
      <c r="I162" s="254"/>
      <c r="J162" s="255"/>
      <c r="K162" s="254">
        <v>30</v>
      </c>
      <c r="L162" s="253">
        <v>30</v>
      </c>
      <c r="M162" s="253"/>
      <c r="N162" s="255"/>
      <c r="O162" s="635">
        <f t="shared" si="52"/>
        <v>30</v>
      </c>
      <c r="P162" s="254">
        <v>30</v>
      </c>
      <c r="Q162" s="253">
        <v>30</v>
      </c>
      <c r="R162" s="253"/>
      <c r="S162" s="254"/>
      <c r="T162" s="253"/>
      <c r="U162" s="253"/>
    </row>
    <row r="163" spans="1:21" ht="15.75">
      <c r="A163" s="698"/>
      <c r="B163" s="698"/>
      <c r="C163" s="698"/>
      <c r="D163" s="698"/>
      <c r="E163" s="698"/>
      <c r="F163" s="699"/>
      <c r="G163" s="699"/>
      <c r="H163" s="216" t="s">
        <v>149</v>
      </c>
      <c r="I163" s="254"/>
      <c r="J163" s="255"/>
      <c r="K163" s="254"/>
      <c r="L163" s="253"/>
      <c r="M163" s="253"/>
      <c r="N163" s="255"/>
      <c r="O163" s="635">
        <f t="shared" si="52"/>
        <v>0</v>
      </c>
      <c r="P163" s="254">
        <v>200</v>
      </c>
      <c r="Q163" s="253"/>
      <c r="R163" s="253"/>
      <c r="S163" s="254"/>
      <c r="T163" s="253"/>
      <c r="U163" s="253"/>
    </row>
    <row r="164" spans="1:21" ht="15.75">
      <c r="A164" s="698"/>
      <c r="B164" s="698"/>
      <c r="C164" s="698"/>
      <c r="D164" s="698"/>
      <c r="E164" s="699"/>
      <c r="F164" s="277"/>
      <c r="G164" s="259"/>
      <c r="H164" s="216" t="s">
        <v>8</v>
      </c>
      <c r="I164" s="264">
        <f t="shared" ref="I164:U164" si="53">SUM(I158:I163)</f>
        <v>0</v>
      </c>
      <c r="J164" s="264">
        <f t="shared" si="53"/>
        <v>0</v>
      </c>
      <c r="K164" s="264">
        <f t="shared" si="53"/>
        <v>60</v>
      </c>
      <c r="L164" s="264">
        <f t="shared" si="53"/>
        <v>30</v>
      </c>
      <c r="M164" s="264">
        <f t="shared" si="53"/>
        <v>0</v>
      </c>
      <c r="N164" s="264">
        <f t="shared" si="53"/>
        <v>0</v>
      </c>
      <c r="O164" s="636">
        <f t="shared" si="53"/>
        <v>60</v>
      </c>
      <c r="P164" s="264">
        <f t="shared" si="53"/>
        <v>230</v>
      </c>
      <c r="Q164" s="264">
        <f t="shared" si="53"/>
        <v>30</v>
      </c>
      <c r="R164" s="264">
        <f t="shared" si="53"/>
        <v>0</v>
      </c>
      <c r="S164" s="264">
        <f t="shared" si="53"/>
        <v>0</v>
      </c>
      <c r="T164" s="264">
        <f t="shared" si="53"/>
        <v>0</v>
      </c>
      <c r="U164" s="264">
        <f t="shared" si="53"/>
        <v>0</v>
      </c>
    </row>
    <row r="165" spans="1:21" ht="31.5">
      <c r="A165" s="698"/>
      <c r="B165" s="698"/>
      <c r="C165" s="698"/>
      <c r="D165" s="698"/>
      <c r="E165" s="249"/>
      <c r="F165" s="248"/>
      <c r="G165" s="247"/>
      <c r="H165" s="246" t="s">
        <v>151</v>
      </c>
      <c r="I165" s="245">
        <f t="shared" ref="I165:U165" si="54">I52+I59+I66+I73+I80+I87+I94+I101+I108+I115+I122+I129+I136+I143+I150+I157+I164</f>
        <v>178.03399999999999</v>
      </c>
      <c r="J165" s="245">
        <f t="shared" si="54"/>
        <v>11.355</v>
      </c>
      <c r="K165" s="245">
        <f t="shared" si="54"/>
        <v>2787.8</v>
      </c>
      <c r="L165" s="245">
        <f t="shared" si="54"/>
        <v>750</v>
      </c>
      <c r="M165" s="245">
        <f t="shared" si="54"/>
        <v>263.10000000000002</v>
      </c>
      <c r="N165" s="245">
        <f t="shared" si="54"/>
        <v>28.9</v>
      </c>
      <c r="O165" s="627">
        <f t="shared" si="54"/>
        <v>2965.8339999999998</v>
      </c>
      <c r="P165" s="245">
        <f t="shared" si="54"/>
        <v>8760.6</v>
      </c>
      <c r="Q165" s="245">
        <f t="shared" si="54"/>
        <v>1471.8</v>
      </c>
      <c r="R165" s="245">
        <f t="shared" si="54"/>
        <v>0</v>
      </c>
      <c r="S165" s="245">
        <f t="shared" si="54"/>
        <v>8486.6</v>
      </c>
      <c r="T165" s="245">
        <f t="shared" si="54"/>
        <v>1159.8999999999999</v>
      </c>
      <c r="U165" s="245">
        <f t="shared" si="54"/>
        <v>0</v>
      </c>
    </row>
    <row r="166" spans="1:21" ht="15.75">
      <c r="A166" s="698"/>
      <c r="B166" s="698"/>
      <c r="C166" s="698"/>
      <c r="D166" s="698"/>
      <c r="E166" s="276"/>
      <c r="F166" s="242" t="s">
        <v>152</v>
      </c>
      <c r="G166" s="243" t="s">
        <v>153</v>
      </c>
      <c r="H166" s="242" t="s">
        <v>145</v>
      </c>
      <c r="I166" s="637">
        <f t="shared" ref="I166:U166" si="55">I46+I53+I60+I67+I74+I81+I88+I95+I102+I109+I116+I123+I130+I137+I144+I151+I158</f>
        <v>0</v>
      </c>
      <c r="J166" s="637">
        <f t="shared" si="55"/>
        <v>0</v>
      </c>
      <c r="K166" s="637">
        <f t="shared" si="55"/>
        <v>86.7</v>
      </c>
      <c r="L166" s="637">
        <f t="shared" si="55"/>
        <v>0</v>
      </c>
      <c r="M166" s="637">
        <f t="shared" si="55"/>
        <v>0</v>
      </c>
      <c r="N166" s="637">
        <f t="shared" si="55"/>
        <v>0</v>
      </c>
      <c r="O166" s="637">
        <f t="shared" si="55"/>
        <v>86.7</v>
      </c>
      <c r="P166" s="637">
        <f t="shared" si="55"/>
        <v>92.3</v>
      </c>
      <c r="Q166" s="637">
        <f t="shared" si="55"/>
        <v>0</v>
      </c>
      <c r="R166" s="637">
        <f t="shared" si="55"/>
        <v>0</v>
      </c>
      <c r="S166" s="637">
        <f t="shared" si="55"/>
        <v>92.2</v>
      </c>
      <c r="T166" s="637">
        <f t="shared" si="55"/>
        <v>0</v>
      </c>
      <c r="U166" s="637">
        <f t="shared" si="55"/>
        <v>0</v>
      </c>
    </row>
    <row r="167" spans="1:21" ht="15.75">
      <c r="A167" s="698"/>
      <c r="B167" s="698"/>
      <c r="C167" s="698"/>
      <c r="D167" s="698"/>
      <c r="E167" s="276"/>
      <c r="F167" s="242" t="s">
        <v>154</v>
      </c>
      <c r="G167" s="243" t="s">
        <v>153</v>
      </c>
      <c r="H167" s="242" t="s">
        <v>146</v>
      </c>
      <c r="I167" s="637">
        <f t="shared" ref="I167:U167" si="56">I47+I54+I61+I68+I75+I82+I89+I96+I103+I110+I117+I124+I131+I138+I145+I152+I159</f>
        <v>0</v>
      </c>
      <c r="J167" s="637">
        <f t="shared" si="56"/>
        <v>0</v>
      </c>
      <c r="K167" s="637">
        <f t="shared" si="56"/>
        <v>0</v>
      </c>
      <c r="L167" s="637">
        <f t="shared" si="56"/>
        <v>0</v>
      </c>
      <c r="M167" s="637">
        <f t="shared" si="56"/>
        <v>0</v>
      </c>
      <c r="N167" s="637">
        <f t="shared" si="56"/>
        <v>0</v>
      </c>
      <c r="O167" s="637">
        <f t="shared" si="56"/>
        <v>0</v>
      </c>
      <c r="P167" s="637">
        <f t="shared" si="56"/>
        <v>0</v>
      </c>
      <c r="Q167" s="637">
        <f t="shared" si="56"/>
        <v>0</v>
      </c>
      <c r="R167" s="637">
        <f t="shared" si="56"/>
        <v>0</v>
      </c>
      <c r="S167" s="637">
        <f t="shared" si="56"/>
        <v>0</v>
      </c>
      <c r="T167" s="637">
        <f t="shared" si="56"/>
        <v>0</v>
      </c>
      <c r="U167" s="637">
        <f t="shared" si="56"/>
        <v>0</v>
      </c>
    </row>
    <row r="168" spans="1:21" ht="15.75">
      <c r="A168" s="698"/>
      <c r="B168" s="698"/>
      <c r="C168" s="698"/>
      <c r="D168" s="698"/>
      <c r="E168" s="276"/>
      <c r="F168" s="242" t="s">
        <v>155</v>
      </c>
      <c r="G168" s="243" t="s">
        <v>153</v>
      </c>
      <c r="H168" s="242" t="s">
        <v>147</v>
      </c>
      <c r="I168" s="637">
        <f t="shared" ref="I168:U168" si="57">I48+I55+I62+I69+I76+I83+I90+I97+I104+I111+I118+I125+I132+I139+I146+I153+I160</f>
        <v>0</v>
      </c>
      <c r="J168" s="637">
        <f t="shared" si="57"/>
        <v>0</v>
      </c>
      <c r="K168" s="637">
        <f t="shared" si="57"/>
        <v>0</v>
      </c>
      <c r="L168" s="637">
        <f t="shared" si="57"/>
        <v>0</v>
      </c>
      <c r="M168" s="637">
        <f t="shared" si="57"/>
        <v>0</v>
      </c>
      <c r="N168" s="637">
        <f t="shared" si="57"/>
        <v>0</v>
      </c>
      <c r="O168" s="637">
        <f t="shared" si="57"/>
        <v>0</v>
      </c>
      <c r="P168" s="637">
        <f t="shared" si="57"/>
        <v>0</v>
      </c>
      <c r="Q168" s="637">
        <f t="shared" si="57"/>
        <v>0</v>
      </c>
      <c r="R168" s="637">
        <f t="shared" si="57"/>
        <v>0</v>
      </c>
      <c r="S168" s="637">
        <f t="shared" si="57"/>
        <v>0</v>
      </c>
      <c r="T168" s="637">
        <f t="shared" si="57"/>
        <v>0</v>
      </c>
      <c r="U168" s="637">
        <f t="shared" si="57"/>
        <v>0</v>
      </c>
    </row>
    <row r="169" spans="1:21" ht="31.5">
      <c r="A169" s="698"/>
      <c r="B169" s="698"/>
      <c r="C169" s="698"/>
      <c r="D169" s="698"/>
      <c r="E169" s="276"/>
      <c r="F169" s="242" t="s">
        <v>156</v>
      </c>
      <c r="G169" s="243" t="s">
        <v>153</v>
      </c>
      <c r="H169" s="242" t="s">
        <v>148</v>
      </c>
      <c r="I169" s="637">
        <f t="shared" ref="I169:U169" si="58">I49+I56+I63+I70+I77+I84+I91+I98+I105+I112+I119+I126+I133+I140+I147+I154+I161</f>
        <v>0</v>
      </c>
      <c r="J169" s="637">
        <f t="shared" si="58"/>
        <v>0</v>
      </c>
      <c r="K169" s="637">
        <f t="shared" si="58"/>
        <v>0</v>
      </c>
      <c r="L169" s="637">
        <f t="shared" si="58"/>
        <v>0</v>
      </c>
      <c r="M169" s="637">
        <f t="shared" si="58"/>
        <v>0</v>
      </c>
      <c r="N169" s="637">
        <f t="shared" si="58"/>
        <v>0</v>
      </c>
      <c r="O169" s="637">
        <f t="shared" si="58"/>
        <v>0</v>
      </c>
      <c r="P169" s="637">
        <f t="shared" si="58"/>
        <v>0</v>
      </c>
      <c r="Q169" s="637">
        <f t="shared" si="58"/>
        <v>0</v>
      </c>
      <c r="R169" s="637">
        <f t="shared" si="58"/>
        <v>0</v>
      </c>
      <c r="S169" s="637">
        <f t="shared" si="58"/>
        <v>0</v>
      </c>
      <c r="T169" s="637">
        <f t="shared" si="58"/>
        <v>0</v>
      </c>
      <c r="U169" s="637">
        <f t="shared" si="58"/>
        <v>0</v>
      </c>
    </row>
    <row r="170" spans="1:21" ht="15.75">
      <c r="A170" s="698"/>
      <c r="B170" s="698"/>
      <c r="C170" s="698"/>
      <c r="D170" s="698"/>
      <c r="E170" s="276"/>
      <c r="F170" s="242" t="s">
        <v>157</v>
      </c>
      <c r="G170" s="243" t="s">
        <v>153</v>
      </c>
      <c r="H170" s="242" t="s">
        <v>5</v>
      </c>
      <c r="I170" s="637">
        <f t="shared" ref="I170:U170" si="59">I50+I57+I64+I71+I78+I85+I92+I99+I106+I113+I120+I127+I134+I141+I148+I155+I162</f>
        <v>0</v>
      </c>
      <c r="J170" s="637">
        <f t="shared" si="59"/>
        <v>0</v>
      </c>
      <c r="K170" s="637">
        <f t="shared" si="59"/>
        <v>1013.1</v>
      </c>
      <c r="L170" s="637">
        <f t="shared" si="59"/>
        <v>750</v>
      </c>
      <c r="M170" s="637">
        <f t="shared" si="59"/>
        <v>263.10000000000002</v>
      </c>
      <c r="N170" s="637">
        <f t="shared" si="59"/>
        <v>0</v>
      </c>
      <c r="O170" s="637">
        <f t="shared" si="59"/>
        <v>1013.1</v>
      </c>
      <c r="P170" s="637">
        <f t="shared" si="59"/>
        <v>1471.8</v>
      </c>
      <c r="Q170" s="637">
        <f t="shared" si="59"/>
        <v>1471.8</v>
      </c>
      <c r="R170" s="637">
        <f t="shared" si="59"/>
        <v>0</v>
      </c>
      <c r="S170" s="637">
        <f t="shared" si="59"/>
        <v>1159.8999999999999</v>
      </c>
      <c r="T170" s="637">
        <f t="shared" si="59"/>
        <v>1159.8999999999999</v>
      </c>
      <c r="U170" s="637">
        <f t="shared" si="59"/>
        <v>0</v>
      </c>
    </row>
    <row r="171" spans="1:21" ht="15.75">
      <c r="A171" s="699"/>
      <c r="B171" s="699"/>
      <c r="C171" s="699"/>
      <c r="D171" s="699"/>
      <c r="E171" s="276"/>
      <c r="F171" s="242" t="s">
        <v>158</v>
      </c>
      <c r="G171" s="243" t="s">
        <v>153</v>
      </c>
      <c r="H171" s="242" t="s">
        <v>149</v>
      </c>
      <c r="I171" s="637">
        <f t="shared" ref="I171:U171" si="60">I51+I58+I65+I72+I79+I86+I93+I100+I107+I114+I121+I128+I135+I142+I149+I156+I163</f>
        <v>178.03399999999999</v>
      </c>
      <c r="J171" s="637">
        <f t="shared" si="60"/>
        <v>11.355</v>
      </c>
      <c r="K171" s="637">
        <f t="shared" si="60"/>
        <v>1688</v>
      </c>
      <c r="L171" s="637">
        <f t="shared" si="60"/>
        <v>0</v>
      </c>
      <c r="M171" s="637">
        <f t="shared" si="60"/>
        <v>0</v>
      </c>
      <c r="N171" s="637">
        <f t="shared" si="60"/>
        <v>28.9</v>
      </c>
      <c r="O171" s="637">
        <f t="shared" si="60"/>
        <v>1866.0340000000001</v>
      </c>
      <c r="P171" s="637">
        <f t="shared" si="60"/>
        <v>7196.5</v>
      </c>
      <c r="Q171" s="637">
        <f t="shared" si="60"/>
        <v>0</v>
      </c>
      <c r="R171" s="637">
        <f t="shared" si="60"/>
        <v>0</v>
      </c>
      <c r="S171" s="637">
        <f t="shared" si="60"/>
        <v>7234.5</v>
      </c>
      <c r="T171" s="637">
        <f t="shared" si="60"/>
        <v>0</v>
      </c>
      <c r="U171" s="637">
        <f t="shared" si="60"/>
        <v>0</v>
      </c>
    </row>
    <row r="172" spans="1:21" ht="47.25">
      <c r="A172" s="275" t="s">
        <v>4</v>
      </c>
      <c r="B172" s="274" t="s">
        <v>4</v>
      </c>
      <c r="C172" s="249" t="s">
        <v>215</v>
      </c>
      <c r="D172" s="249" t="s">
        <v>13</v>
      </c>
      <c r="E172" s="273"/>
      <c r="F172" s="272" t="s">
        <v>216</v>
      </c>
      <c r="G172" s="272"/>
      <c r="H172" s="271"/>
      <c r="I172" s="270"/>
      <c r="J172" s="270"/>
      <c r="K172" s="270"/>
      <c r="L172" s="270"/>
      <c r="M172" s="270"/>
      <c r="N172" s="270"/>
      <c r="O172" s="634"/>
      <c r="P172" s="270"/>
      <c r="Q172" s="270"/>
      <c r="R172" s="270"/>
      <c r="S172" s="270"/>
      <c r="T172" s="270"/>
      <c r="U172" s="270"/>
    </row>
    <row r="173" spans="1:21" ht="15.75">
      <c r="A173" s="717"/>
      <c r="B173" s="718"/>
      <c r="C173" s="731"/>
      <c r="D173" s="731"/>
      <c r="E173" s="700" t="s">
        <v>7</v>
      </c>
      <c r="F173" s="720" t="s">
        <v>217</v>
      </c>
      <c r="G173" s="703" t="s">
        <v>218</v>
      </c>
      <c r="H173" s="216" t="s">
        <v>145</v>
      </c>
      <c r="I173" s="254"/>
      <c r="J173" s="255"/>
      <c r="K173" s="254">
        <v>25</v>
      </c>
      <c r="L173" s="253"/>
      <c r="M173" s="253"/>
      <c r="N173" s="255"/>
      <c r="O173" s="635">
        <f t="shared" ref="O173:O178" si="61">I173+K173</f>
        <v>25</v>
      </c>
      <c r="P173" s="254"/>
      <c r="Q173" s="253"/>
      <c r="R173" s="253"/>
      <c r="S173" s="254"/>
      <c r="T173" s="253"/>
      <c r="U173" s="253"/>
    </row>
    <row r="174" spans="1:21" ht="15.75" customHeight="1">
      <c r="A174" s="698"/>
      <c r="B174" s="698"/>
      <c r="C174" s="698"/>
      <c r="D174" s="698"/>
      <c r="E174" s="698"/>
      <c r="F174" s="698"/>
      <c r="G174" s="707"/>
      <c r="H174" s="216" t="s">
        <v>146</v>
      </c>
      <c r="I174" s="254"/>
      <c r="J174" s="255"/>
      <c r="K174" s="254"/>
      <c r="L174" s="253"/>
      <c r="M174" s="253"/>
      <c r="N174" s="255"/>
      <c r="O174" s="635">
        <f t="shared" si="61"/>
        <v>0</v>
      </c>
      <c r="P174" s="254"/>
      <c r="Q174" s="253"/>
      <c r="R174" s="253"/>
      <c r="S174" s="254"/>
      <c r="T174" s="253"/>
      <c r="U174" s="253"/>
    </row>
    <row r="175" spans="1:21" ht="15.75">
      <c r="A175" s="698"/>
      <c r="B175" s="698"/>
      <c r="C175" s="698"/>
      <c r="D175" s="698"/>
      <c r="E175" s="698"/>
      <c r="F175" s="698"/>
      <c r="G175" s="707"/>
      <c r="H175" s="216" t="s">
        <v>147</v>
      </c>
      <c r="I175" s="254"/>
      <c r="J175" s="255"/>
      <c r="K175" s="254"/>
      <c r="L175" s="253"/>
      <c r="M175" s="253"/>
      <c r="N175" s="255"/>
      <c r="O175" s="635">
        <f t="shared" si="61"/>
        <v>0</v>
      </c>
      <c r="P175" s="254"/>
      <c r="Q175" s="253"/>
      <c r="R175" s="253"/>
      <c r="S175" s="254"/>
      <c r="T175" s="253"/>
      <c r="U175" s="253"/>
    </row>
    <row r="176" spans="1:21" ht="15.75">
      <c r="A176" s="698"/>
      <c r="B176" s="698"/>
      <c r="C176" s="698"/>
      <c r="D176" s="698"/>
      <c r="E176" s="698"/>
      <c r="F176" s="698"/>
      <c r="G176" s="707"/>
      <c r="H176" s="216" t="s">
        <v>148</v>
      </c>
      <c r="I176" s="254"/>
      <c r="J176" s="255"/>
      <c r="K176" s="254"/>
      <c r="L176" s="253"/>
      <c r="M176" s="253"/>
      <c r="N176" s="255"/>
      <c r="O176" s="635">
        <f t="shared" si="61"/>
        <v>0</v>
      </c>
      <c r="P176" s="254"/>
      <c r="Q176" s="253"/>
      <c r="R176" s="253"/>
      <c r="S176" s="254"/>
      <c r="T176" s="253"/>
      <c r="U176" s="253"/>
    </row>
    <row r="177" spans="1:21" ht="15.75">
      <c r="A177" s="698"/>
      <c r="B177" s="698"/>
      <c r="C177" s="698"/>
      <c r="D177" s="698"/>
      <c r="E177" s="698"/>
      <c r="F177" s="698"/>
      <c r="G177" s="707"/>
      <c r="H177" s="216" t="s">
        <v>5</v>
      </c>
      <c r="I177" s="254"/>
      <c r="J177" s="255"/>
      <c r="K177" s="254"/>
      <c r="L177" s="253"/>
      <c r="M177" s="253"/>
      <c r="N177" s="255"/>
      <c r="O177" s="635">
        <f t="shared" si="61"/>
        <v>0</v>
      </c>
      <c r="P177" s="254"/>
      <c r="Q177" s="253"/>
      <c r="R177" s="253"/>
      <c r="S177" s="254"/>
      <c r="T177" s="253"/>
      <c r="U177" s="253"/>
    </row>
    <row r="178" spans="1:21" ht="15.75">
      <c r="A178" s="698"/>
      <c r="B178" s="698"/>
      <c r="C178" s="698"/>
      <c r="D178" s="698"/>
      <c r="E178" s="698"/>
      <c r="F178" s="699"/>
      <c r="G178" s="708"/>
      <c r="H178" s="216" t="s">
        <v>149</v>
      </c>
      <c r="I178" s="254">
        <v>0.51200000000000001</v>
      </c>
      <c r="J178" s="255">
        <v>0</v>
      </c>
      <c r="K178" s="254">
        <v>4.5</v>
      </c>
      <c r="L178" s="253"/>
      <c r="M178" s="253"/>
      <c r="N178" s="255"/>
      <c r="O178" s="635">
        <f t="shared" si="61"/>
        <v>5.0120000000000005</v>
      </c>
      <c r="P178" s="254"/>
      <c r="Q178" s="253"/>
      <c r="R178" s="253"/>
      <c r="S178" s="254"/>
      <c r="T178" s="253"/>
      <c r="U178" s="253"/>
    </row>
    <row r="179" spans="1:21" ht="31.5">
      <c r="A179" s="698"/>
      <c r="B179" s="698"/>
      <c r="C179" s="698"/>
      <c r="D179" s="698"/>
      <c r="E179" s="699"/>
      <c r="F179" s="265" t="s">
        <v>219</v>
      </c>
      <c r="G179" s="259"/>
      <c r="H179" s="216" t="s">
        <v>8</v>
      </c>
      <c r="I179" s="264">
        <f t="shared" ref="I179:U179" si="62">SUM(I173:I178)</f>
        <v>0.51200000000000001</v>
      </c>
      <c r="J179" s="264">
        <f t="shared" si="62"/>
        <v>0</v>
      </c>
      <c r="K179" s="264">
        <f t="shared" si="62"/>
        <v>29.5</v>
      </c>
      <c r="L179" s="264">
        <f t="shared" si="62"/>
        <v>0</v>
      </c>
      <c r="M179" s="264">
        <f t="shared" si="62"/>
        <v>0</v>
      </c>
      <c r="N179" s="264">
        <f t="shared" si="62"/>
        <v>0</v>
      </c>
      <c r="O179" s="636">
        <f t="shared" si="62"/>
        <v>30.012</v>
      </c>
      <c r="P179" s="264">
        <f t="shared" si="62"/>
        <v>0</v>
      </c>
      <c r="Q179" s="264">
        <f t="shared" si="62"/>
        <v>0</v>
      </c>
      <c r="R179" s="264">
        <f t="shared" si="62"/>
        <v>0</v>
      </c>
      <c r="S179" s="264">
        <f t="shared" si="62"/>
        <v>0</v>
      </c>
      <c r="T179" s="264">
        <f t="shared" si="62"/>
        <v>0</v>
      </c>
      <c r="U179" s="264">
        <f t="shared" si="62"/>
        <v>0</v>
      </c>
    </row>
    <row r="180" spans="1:21" ht="15.75">
      <c r="A180" s="698"/>
      <c r="B180" s="698"/>
      <c r="C180" s="698"/>
      <c r="D180" s="698"/>
      <c r="E180" s="700" t="s">
        <v>10</v>
      </c>
      <c r="F180" s="720" t="s">
        <v>220</v>
      </c>
      <c r="G180" s="697">
        <v>188714469</v>
      </c>
      <c r="H180" s="216" t="s">
        <v>145</v>
      </c>
      <c r="I180" s="254"/>
      <c r="J180" s="255"/>
      <c r="K180" s="254">
        <v>180</v>
      </c>
      <c r="L180" s="253"/>
      <c r="M180" s="253"/>
      <c r="N180" s="255"/>
      <c r="O180" s="635">
        <f t="shared" ref="O180:O185" si="63">I180+K180</f>
        <v>180</v>
      </c>
      <c r="P180" s="254">
        <v>150</v>
      </c>
      <c r="Q180" s="253"/>
      <c r="R180" s="253"/>
      <c r="S180" s="254">
        <v>140</v>
      </c>
      <c r="T180" s="253"/>
      <c r="U180" s="253"/>
    </row>
    <row r="181" spans="1:21" ht="15.75">
      <c r="A181" s="698"/>
      <c r="B181" s="698"/>
      <c r="C181" s="698"/>
      <c r="D181" s="698"/>
      <c r="E181" s="698"/>
      <c r="F181" s="698"/>
      <c r="G181" s="698"/>
      <c r="H181" s="216" t="s">
        <v>146</v>
      </c>
      <c r="I181" s="254"/>
      <c r="J181" s="255"/>
      <c r="K181" s="254"/>
      <c r="L181" s="253"/>
      <c r="M181" s="253"/>
      <c r="N181" s="255"/>
      <c r="O181" s="635">
        <f t="shared" si="63"/>
        <v>0</v>
      </c>
      <c r="P181" s="254"/>
      <c r="Q181" s="253"/>
      <c r="R181" s="253"/>
      <c r="S181" s="254"/>
      <c r="T181" s="253"/>
      <c r="U181" s="253"/>
    </row>
    <row r="182" spans="1:21" ht="15.75">
      <c r="A182" s="698"/>
      <c r="B182" s="698"/>
      <c r="C182" s="698"/>
      <c r="D182" s="698"/>
      <c r="E182" s="698"/>
      <c r="F182" s="698"/>
      <c r="G182" s="698"/>
      <c r="H182" s="216" t="s">
        <v>147</v>
      </c>
      <c r="I182" s="254"/>
      <c r="J182" s="255"/>
      <c r="K182" s="254"/>
      <c r="L182" s="253"/>
      <c r="M182" s="253"/>
      <c r="N182" s="255"/>
      <c r="O182" s="635">
        <f t="shared" si="63"/>
        <v>0</v>
      </c>
      <c r="P182" s="254"/>
      <c r="Q182" s="253"/>
      <c r="R182" s="253"/>
      <c r="S182" s="254"/>
      <c r="T182" s="253"/>
      <c r="U182" s="253"/>
    </row>
    <row r="183" spans="1:21" ht="15.75">
      <c r="A183" s="698"/>
      <c r="B183" s="698"/>
      <c r="C183" s="698"/>
      <c r="D183" s="698"/>
      <c r="E183" s="698"/>
      <c r="F183" s="698"/>
      <c r="G183" s="698"/>
      <c r="H183" s="216" t="s">
        <v>148</v>
      </c>
      <c r="I183" s="254"/>
      <c r="J183" s="255"/>
      <c r="K183" s="254"/>
      <c r="L183" s="253"/>
      <c r="M183" s="253"/>
      <c r="N183" s="255"/>
      <c r="O183" s="635">
        <f t="shared" si="63"/>
        <v>0</v>
      </c>
      <c r="P183" s="254"/>
      <c r="Q183" s="253"/>
      <c r="R183" s="253"/>
      <c r="S183" s="254"/>
      <c r="T183" s="253"/>
      <c r="U183" s="253"/>
    </row>
    <row r="184" spans="1:21" ht="15.75">
      <c r="A184" s="698"/>
      <c r="B184" s="698"/>
      <c r="C184" s="698"/>
      <c r="D184" s="698"/>
      <c r="E184" s="698"/>
      <c r="F184" s="698"/>
      <c r="G184" s="698"/>
      <c r="H184" s="216" t="s">
        <v>5</v>
      </c>
      <c r="I184" s="254"/>
      <c r="J184" s="255"/>
      <c r="K184" s="254"/>
      <c r="L184" s="253"/>
      <c r="M184" s="253"/>
      <c r="N184" s="255"/>
      <c r="O184" s="635">
        <f t="shared" si="63"/>
        <v>0</v>
      </c>
      <c r="P184" s="254"/>
      <c r="Q184" s="253"/>
      <c r="R184" s="253"/>
      <c r="S184" s="254"/>
      <c r="T184" s="253"/>
      <c r="U184" s="253"/>
    </row>
    <row r="185" spans="1:21" ht="15.75">
      <c r="A185" s="698"/>
      <c r="B185" s="698"/>
      <c r="C185" s="698"/>
      <c r="D185" s="698"/>
      <c r="E185" s="698"/>
      <c r="F185" s="699"/>
      <c r="G185" s="699"/>
      <c r="H185" s="216" t="s">
        <v>149</v>
      </c>
      <c r="I185" s="254"/>
      <c r="J185" s="255"/>
      <c r="K185" s="254"/>
      <c r="L185" s="253"/>
      <c r="M185" s="253"/>
      <c r="N185" s="255"/>
      <c r="O185" s="635">
        <f t="shared" si="63"/>
        <v>0</v>
      </c>
      <c r="P185" s="254"/>
      <c r="Q185" s="253"/>
      <c r="R185" s="253"/>
      <c r="S185" s="254"/>
      <c r="T185" s="253"/>
      <c r="U185" s="253"/>
    </row>
    <row r="186" spans="1:21" ht="31.5">
      <c r="A186" s="698"/>
      <c r="B186" s="698"/>
      <c r="C186" s="698"/>
      <c r="D186" s="698"/>
      <c r="E186" s="699"/>
      <c r="F186" s="265" t="s">
        <v>221</v>
      </c>
      <c r="G186" s="269"/>
      <c r="H186" s="216" t="s">
        <v>8</v>
      </c>
      <c r="I186" s="264">
        <f t="shared" ref="I186:U186" si="64">SUM(I180:I185)</f>
        <v>0</v>
      </c>
      <c r="J186" s="264">
        <f t="shared" si="64"/>
        <v>0</v>
      </c>
      <c r="K186" s="264">
        <f t="shared" si="64"/>
        <v>180</v>
      </c>
      <c r="L186" s="264">
        <f t="shared" si="64"/>
        <v>0</v>
      </c>
      <c r="M186" s="264">
        <f t="shared" si="64"/>
        <v>0</v>
      </c>
      <c r="N186" s="264">
        <f t="shared" si="64"/>
        <v>0</v>
      </c>
      <c r="O186" s="636">
        <f t="shared" si="64"/>
        <v>180</v>
      </c>
      <c r="P186" s="264">
        <f t="shared" si="64"/>
        <v>150</v>
      </c>
      <c r="Q186" s="264">
        <f t="shared" si="64"/>
        <v>0</v>
      </c>
      <c r="R186" s="264">
        <f t="shared" si="64"/>
        <v>0</v>
      </c>
      <c r="S186" s="264">
        <f t="shared" si="64"/>
        <v>140</v>
      </c>
      <c r="T186" s="264">
        <f t="shared" si="64"/>
        <v>0</v>
      </c>
      <c r="U186" s="264">
        <f t="shared" si="64"/>
        <v>0</v>
      </c>
    </row>
    <row r="187" spans="1:21" ht="15.75" customHeight="1">
      <c r="A187" s="698"/>
      <c r="B187" s="698"/>
      <c r="C187" s="698"/>
      <c r="D187" s="698"/>
      <c r="E187" s="700" t="s">
        <v>12</v>
      </c>
      <c r="F187" s="722" t="s">
        <v>222</v>
      </c>
      <c r="G187" s="724">
        <v>188714469</v>
      </c>
      <c r="H187" s="220" t="s">
        <v>145</v>
      </c>
      <c r="I187" s="254"/>
      <c r="J187" s="255"/>
      <c r="K187" s="254"/>
      <c r="L187" s="253"/>
      <c r="M187" s="253"/>
      <c r="N187" s="255"/>
      <c r="O187" s="635">
        <f t="shared" ref="O187:O192" si="65">I187+K187</f>
        <v>0</v>
      </c>
      <c r="P187" s="254"/>
      <c r="Q187" s="253"/>
      <c r="R187" s="253"/>
      <c r="S187" s="254"/>
      <c r="T187" s="253"/>
      <c r="U187" s="253"/>
    </row>
    <row r="188" spans="1:21" ht="15.75" customHeight="1">
      <c r="A188" s="698"/>
      <c r="B188" s="698"/>
      <c r="C188" s="698"/>
      <c r="D188" s="698"/>
      <c r="E188" s="698"/>
      <c r="F188" s="723"/>
      <c r="G188" s="724"/>
      <c r="H188" s="220" t="s">
        <v>146</v>
      </c>
      <c r="I188" s="254"/>
      <c r="J188" s="255"/>
      <c r="K188" s="254"/>
      <c r="L188" s="253"/>
      <c r="M188" s="253"/>
      <c r="N188" s="255"/>
      <c r="O188" s="635">
        <f t="shared" si="65"/>
        <v>0</v>
      </c>
      <c r="P188" s="254"/>
      <c r="Q188" s="253"/>
      <c r="R188" s="253"/>
      <c r="S188" s="254"/>
      <c r="T188" s="253"/>
      <c r="U188" s="253"/>
    </row>
    <row r="189" spans="1:21" ht="15.75">
      <c r="A189" s="698"/>
      <c r="B189" s="698"/>
      <c r="C189" s="698"/>
      <c r="D189" s="698"/>
      <c r="E189" s="698"/>
      <c r="F189" s="723"/>
      <c r="G189" s="724"/>
      <c r="H189" s="220" t="s">
        <v>147</v>
      </c>
      <c r="I189" s="254"/>
      <c r="J189" s="255"/>
      <c r="K189" s="254"/>
      <c r="L189" s="253"/>
      <c r="M189" s="253"/>
      <c r="N189" s="255"/>
      <c r="O189" s="635">
        <f t="shared" si="65"/>
        <v>0</v>
      </c>
      <c r="P189" s="254"/>
      <c r="Q189" s="253"/>
      <c r="R189" s="253"/>
      <c r="S189" s="254"/>
      <c r="T189" s="253"/>
      <c r="U189" s="253"/>
    </row>
    <row r="190" spans="1:21" ht="15.75">
      <c r="A190" s="698"/>
      <c r="B190" s="698"/>
      <c r="C190" s="698"/>
      <c r="D190" s="698"/>
      <c r="E190" s="698"/>
      <c r="F190" s="723"/>
      <c r="G190" s="724"/>
      <c r="H190" s="220" t="s">
        <v>148</v>
      </c>
      <c r="I190" s="254"/>
      <c r="J190" s="255"/>
      <c r="K190" s="254"/>
      <c r="L190" s="253"/>
      <c r="M190" s="253"/>
      <c r="N190" s="255"/>
      <c r="O190" s="635">
        <f t="shared" si="65"/>
        <v>0</v>
      </c>
      <c r="P190" s="254"/>
      <c r="Q190" s="253"/>
      <c r="R190" s="253"/>
      <c r="S190" s="254"/>
      <c r="T190" s="253"/>
      <c r="U190" s="253"/>
    </row>
    <row r="191" spans="1:21" ht="15.75">
      <c r="A191" s="698"/>
      <c r="B191" s="698"/>
      <c r="C191" s="698"/>
      <c r="D191" s="698"/>
      <c r="E191" s="698"/>
      <c r="F191" s="723"/>
      <c r="G191" s="724"/>
      <c r="H191" s="220" t="s">
        <v>5</v>
      </c>
      <c r="I191" s="254"/>
      <c r="J191" s="255"/>
      <c r="K191" s="254"/>
      <c r="L191" s="253"/>
      <c r="M191" s="253"/>
      <c r="N191" s="255"/>
      <c r="O191" s="635">
        <f t="shared" si="65"/>
        <v>0</v>
      </c>
      <c r="P191" s="254"/>
      <c r="Q191" s="253"/>
      <c r="R191" s="253"/>
      <c r="S191" s="254"/>
      <c r="T191" s="253"/>
      <c r="U191" s="253"/>
    </row>
    <row r="192" spans="1:21" ht="15.75">
      <c r="A192" s="698"/>
      <c r="B192" s="698"/>
      <c r="C192" s="698"/>
      <c r="D192" s="698"/>
      <c r="E192" s="698"/>
      <c r="F192" s="716"/>
      <c r="G192" s="724"/>
      <c r="H192" s="220" t="s">
        <v>149</v>
      </c>
      <c r="I192" s="254">
        <v>10.441000000000001</v>
      </c>
      <c r="J192" s="255">
        <v>5.2329999999999997</v>
      </c>
      <c r="K192" s="254">
        <v>70</v>
      </c>
      <c r="L192" s="253"/>
      <c r="M192" s="253"/>
      <c r="N192" s="255"/>
      <c r="O192" s="635">
        <f t="shared" si="65"/>
        <v>80.441000000000003</v>
      </c>
      <c r="P192" s="254"/>
      <c r="Q192" s="253"/>
      <c r="R192" s="253"/>
      <c r="S192" s="254"/>
      <c r="T192" s="253"/>
      <c r="U192" s="253"/>
    </row>
    <row r="193" spans="1:21" ht="31.5">
      <c r="A193" s="698"/>
      <c r="B193" s="698"/>
      <c r="C193" s="698"/>
      <c r="D193" s="698"/>
      <c r="E193" s="699"/>
      <c r="F193" s="260" t="s">
        <v>223</v>
      </c>
      <c r="G193" s="268"/>
      <c r="H193" s="216" t="s">
        <v>8</v>
      </c>
      <c r="I193" s="264">
        <f t="shared" ref="I193:U193" si="66">SUM(I187:I192)</f>
        <v>10.441000000000001</v>
      </c>
      <c r="J193" s="264">
        <f t="shared" si="66"/>
        <v>5.2329999999999997</v>
      </c>
      <c r="K193" s="264">
        <f t="shared" si="66"/>
        <v>70</v>
      </c>
      <c r="L193" s="264">
        <f t="shared" si="66"/>
        <v>0</v>
      </c>
      <c r="M193" s="264">
        <f t="shared" si="66"/>
        <v>0</v>
      </c>
      <c r="N193" s="264">
        <f t="shared" si="66"/>
        <v>0</v>
      </c>
      <c r="O193" s="636">
        <f t="shared" si="66"/>
        <v>80.441000000000003</v>
      </c>
      <c r="P193" s="264">
        <f t="shared" si="66"/>
        <v>0</v>
      </c>
      <c r="Q193" s="264">
        <f t="shared" si="66"/>
        <v>0</v>
      </c>
      <c r="R193" s="264">
        <f t="shared" si="66"/>
        <v>0</v>
      </c>
      <c r="S193" s="264">
        <f t="shared" si="66"/>
        <v>0</v>
      </c>
      <c r="T193" s="264">
        <f t="shared" si="66"/>
        <v>0</v>
      </c>
      <c r="U193" s="264">
        <f t="shared" si="66"/>
        <v>0</v>
      </c>
    </row>
    <row r="194" spans="1:21" ht="15.75">
      <c r="A194" s="698"/>
      <c r="B194" s="698"/>
      <c r="C194" s="698"/>
      <c r="D194" s="698"/>
      <c r="E194" s="700" t="s">
        <v>11</v>
      </c>
      <c r="F194" s="706" t="s">
        <v>224</v>
      </c>
      <c r="G194" s="703" t="s">
        <v>225</v>
      </c>
      <c r="H194" s="216" t="s">
        <v>145</v>
      </c>
      <c r="I194" s="254"/>
      <c r="J194" s="255"/>
      <c r="K194" s="254"/>
      <c r="L194" s="253"/>
      <c r="M194" s="253"/>
      <c r="N194" s="255"/>
      <c r="O194" s="635">
        <f>I194+K194</f>
        <v>0</v>
      </c>
      <c r="P194" s="254"/>
      <c r="Q194" s="253"/>
      <c r="R194" s="253"/>
      <c r="S194" s="254"/>
      <c r="T194" s="253"/>
      <c r="U194" s="253"/>
    </row>
    <row r="195" spans="1:21" ht="15.75" customHeight="1">
      <c r="A195" s="698"/>
      <c r="B195" s="698"/>
      <c r="C195" s="698"/>
      <c r="D195" s="698"/>
      <c r="E195" s="698"/>
      <c r="F195" s="698"/>
      <c r="G195" s="707"/>
      <c r="H195" s="216" t="s">
        <v>146</v>
      </c>
      <c r="I195" s="254"/>
      <c r="J195" s="255"/>
      <c r="K195" s="254"/>
      <c r="L195" s="253"/>
      <c r="M195" s="253"/>
      <c r="N195" s="255"/>
      <c r="O195" s="635">
        <f>I195+K195</f>
        <v>0</v>
      </c>
      <c r="P195" s="254"/>
      <c r="Q195" s="253"/>
      <c r="R195" s="253"/>
      <c r="S195" s="254"/>
      <c r="T195" s="253"/>
      <c r="U195" s="253"/>
    </row>
    <row r="196" spans="1:21" ht="15.75">
      <c r="A196" s="698"/>
      <c r="B196" s="698"/>
      <c r="C196" s="698"/>
      <c r="D196" s="698"/>
      <c r="E196" s="698"/>
      <c r="F196" s="698"/>
      <c r="G196" s="707"/>
      <c r="H196" s="216" t="s">
        <v>147</v>
      </c>
      <c r="I196" s="254"/>
      <c r="J196" s="255"/>
      <c r="K196" s="254"/>
      <c r="L196" s="253"/>
      <c r="M196" s="253"/>
      <c r="N196" s="255"/>
      <c r="O196" s="635">
        <f>I196+K196</f>
        <v>0</v>
      </c>
      <c r="P196" s="254"/>
      <c r="Q196" s="253"/>
      <c r="R196" s="253"/>
      <c r="S196" s="254"/>
      <c r="T196" s="253"/>
      <c r="U196" s="253"/>
    </row>
    <row r="197" spans="1:21" ht="15.75">
      <c r="A197" s="698"/>
      <c r="B197" s="698"/>
      <c r="C197" s="698"/>
      <c r="D197" s="698"/>
      <c r="E197" s="698"/>
      <c r="F197" s="698"/>
      <c r="G197" s="707"/>
      <c r="H197" s="216" t="s">
        <v>148</v>
      </c>
      <c r="I197" s="254"/>
      <c r="J197" s="255"/>
      <c r="K197" s="254"/>
      <c r="L197" s="253"/>
      <c r="M197" s="253"/>
      <c r="N197" s="255"/>
      <c r="O197" s="635">
        <f>I197+K197</f>
        <v>0</v>
      </c>
      <c r="P197" s="254"/>
      <c r="Q197" s="253"/>
      <c r="R197" s="253"/>
      <c r="S197" s="254"/>
      <c r="T197" s="253"/>
      <c r="U197" s="253"/>
    </row>
    <row r="198" spans="1:21" ht="15.75">
      <c r="A198" s="698"/>
      <c r="B198" s="698"/>
      <c r="C198" s="698"/>
      <c r="D198" s="698"/>
      <c r="E198" s="698"/>
      <c r="F198" s="698"/>
      <c r="G198" s="707"/>
      <c r="H198" s="216" t="s">
        <v>5</v>
      </c>
      <c r="I198" s="254"/>
      <c r="J198" s="255"/>
      <c r="K198" s="254"/>
      <c r="L198" s="253"/>
      <c r="M198" s="253"/>
      <c r="N198" s="255"/>
      <c r="O198" s="635">
        <f>I198+K198</f>
        <v>0</v>
      </c>
      <c r="P198" s="254"/>
      <c r="Q198" s="253"/>
      <c r="R198" s="253"/>
      <c r="S198" s="254"/>
      <c r="T198" s="253"/>
      <c r="U198" s="253"/>
    </row>
    <row r="199" spans="1:21" ht="15.75">
      <c r="A199" s="698"/>
      <c r="B199" s="698"/>
      <c r="C199" s="698"/>
      <c r="D199" s="698"/>
      <c r="E199" s="698"/>
      <c r="F199" s="699"/>
      <c r="G199" s="708"/>
      <c r="H199" s="216" t="s">
        <v>149</v>
      </c>
      <c r="I199" s="254">
        <v>37.375999999999998</v>
      </c>
      <c r="J199" s="255">
        <v>6.2</v>
      </c>
      <c r="K199" s="254">
        <v>52.9</v>
      </c>
      <c r="L199" s="253"/>
      <c r="M199" s="253"/>
      <c r="N199" s="255">
        <v>4.8</v>
      </c>
      <c r="O199" s="635">
        <v>90.275999999999996</v>
      </c>
      <c r="P199" s="254">
        <v>47.1</v>
      </c>
      <c r="Q199" s="253"/>
      <c r="R199" s="253"/>
      <c r="S199" s="254">
        <v>47.1</v>
      </c>
      <c r="T199" s="253"/>
      <c r="U199" s="253"/>
    </row>
    <row r="200" spans="1:21" ht="15.75">
      <c r="A200" s="698"/>
      <c r="B200" s="698"/>
      <c r="C200" s="698"/>
      <c r="D200" s="698"/>
      <c r="E200" s="699"/>
      <c r="F200" s="260" t="s">
        <v>226</v>
      </c>
      <c r="G200" s="259"/>
      <c r="H200" s="216" t="s">
        <v>8</v>
      </c>
      <c r="I200" s="264">
        <f t="shared" ref="I200:U200" si="67">SUM(I194:I199)</f>
        <v>37.375999999999998</v>
      </c>
      <c r="J200" s="264">
        <f t="shared" si="67"/>
        <v>6.2</v>
      </c>
      <c r="K200" s="264">
        <f t="shared" si="67"/>
        <v>52.9</v>
      </c>
      <c r="L200" s="264">
        <f t="shared" si="67"/>
        <v>0</v>
      </c>
      <c r="M200" s="264">
        <f t="shared" si="67"/>
        <v>0</v>
      </c>
      <c r="N200" s="264">
        <f t="shared" si="67"/>
        <v>4.8</v>
      </c>
      <c r="O200" s="636">
        <f t="shared" si="67"/>
        <v>90.275999999999996</v>
      </c>
      <c r="P200" s="264">
        <f t="shared" si="67"/>
        <v>47.1</v>
      </c>
      <c r="Q200" s="264">
        <f t="shared" si="67"/>
        <v>0</v>
      </c>
      <c r="R200" s="264">
        <f t="shared" si="67"/>
        <v>0</v>
      </c>
      <c r="S200" s="264">
        <f t="shared" si="67"/>
        <v>47.1</v>
      </c>
      <c r="T200" s="264">
        <f t="shared" si="67"/>
        <v>0</v>
      </c>
      <c r="U200" s="264">
        <f t="shared" si="67"/>
        <v>0</v>
      </c>
    </row>
    <row r="201" spans="1:21" ht="15.75">
      <c r="A201" s="698"/>
      <c r="B201" s="698"/>
      <c r="C201" s="698"/>
      <c r="D201" s="698"/>
      <c r="E201" s="700" t="s">
        <v>177</v>
      </c>
      <c r="F201" s="706" t="s">
        <v>227</v>
      </c>
      <c r="G201" s="697">
        <v>188714469</v>
      </c>
      <c r="H201" s="216" t="s">
        <v>145</v>
      </c>
      <c r="I201" s="254"/>
      <c r="J201" s="255"/>
      <c r="K201" s="254">
        <v>4</v>
      </c>
      <c r="L201" s="253"/>
      <c r="M201" s="253"/>
      <c r="N201" s="255"/>
      <c r="O201" s="635">
        <f t="shared" ref="O201:O206" si="68">I201+K201</f>
        <v>4</v>
      </c>
      <c r="P201" s="254"/>
      <c r="Q201" s="253"/>
      <c r="R201" s="253"/>
      <c r="S201" s="254"/>
      <c r="T201" s="253"/>
      <c r="U201" s="253"/>
    </row>
    <row r="202" spans="1:21" ht="15.75">
      <c r="A202" s="698"/>
      <c r="B202" s="698"/>
      <c r="C202" s="698"/>
      <c r="D202" s="698"/>
      <c r="E202" s="698"/>
      <c r="F202" s="698"/>
      <c r="G202" s="698"/>
      <c r="H202" s="216" t="s">
        <v>146</v>
      </c>
      <c r="I202" s="254"/>
      <c r="J202" s="255"/>
      <c r="K202" s="254"/>
      <c r="L202" s="253"/>
      <c r="M202" s="253"/>
      <c r="N202" s="255"/>
      <c r="O202" s="635">
        <f t="shared" si="68"/>
        <v>0</v>
      </c>
      <c r="P202" s="254"/>
      <c r="Q202" s="253"/>
      <c r="R202" s="253"/>
      <c r="S202" s="254"/>
      <c r="T202" s="253"/>
      <c r="U202" s="253"/>
    </row>
    <row r="203" spans="1:21" ht="15.75">
      <c r="A203" s="698"/>
      <c r="B203" s="698"/>
      <c r="C203" s="698"/>
      <c r="D203" s="698"/>
      <c r="E203" s="698"/>
      <c r="F203" s="698"/>
      <c r="G203" s="698"/>
      <c r="H203" s="216" t="s">
        <v>147</v>
      </c>
      <c r="I203" s="254"/>
      <c r="J203" s="255"/>
      <c r="K203" s="254"/>
      <c r="L203" s="253"/>
      <c r="M203" s="253"/>
      <c r="N203" s="255"/>
      <c r="O203" s="635">
        <f t="shared" si="68"/>
        <v>0</v>
      </c>
      <c r="P203" s="254"/>
      <c r="Q203" s="253"/>
      <c r="R203" s="253"/>
      <c r="S203" s="254"/>
      <c r="T203" s="253"/>
      <c r="U203" s="253"/>
    </row>
    <row r="204" spans="1:21" ht="15.75">
      <c r="A204" s="698"/>
      <c r="B204" s="698"/>
      <c r="C204" s="698"/>
      <c r="D204" s="698"/>
      <c r="E204" s="698"/>
      <c r="F204" s="698"/>
      <c r="G204" s="698"/>
      <c r="H204" s="216" t="s">
        <v>148</v>
      </c>
      <c r="I204" s="254"/>
      <c r="J204" s="255"/>
      <c r="K204" s="254"/>
      <c r="L204" s="253"/>
      <c r="M204" s="253"/>
      <c r="N204" s="255"/>
      <c r="O204" s="635">
        <f t="shared" si="68"/>
        <v>0</v>
      </c>
      <c r="P204" s="254"/>
      <c r="Q204" s="253"/>
      <c r="R204" s="253"/>
      <c r="S204" s="254"/>
      <c r="T204" s="253"/>
      <c r="U204" s="253"/>
    </row>
    <row r="205" spans="1:21" ht="15.75">
      <c r="A205" s="698"/>
      <c r="B205" s="698"/>
      <c r="C205" s="698"/>
      <c r="D205" s="698"/>
      <c r="E205" s="698"/>
      <c r="F205" s="698"/>
      <c r="G205" s="698"/>
      <c r="H205" s="216" t="s">
        <v>5</v>
      </c>
      <c r="I205" s="254"/>
      <c r="J205" s="255"/>
      <c r="K205" s="254"/>
      <c r="L205" s="253"/>
      <c r="M205" s="253"/>
      <c r="N205" s="255"/>
      <c r="O205" s="635">
        <f t="shared" si="68"/>
        <v>0</v>
      </c>
      <c r="P205" s="254"/>
      <c r="Q205" s="253"/>
      <c r="R205" s="253"/>
      <c r="S205" s="254"/>
      <c r="T205" s="253"/>
      <c r="U205" s="253"/>
    </row>
    <row r="206" spans="1:21" ht="15.75">
      <c r="A206" s="698"/>
      <c r="B206" s="698"/>
      <c r="C206" s="698"/>
      <c r="D206" s="698"/>
      <c r="E206" s="698"/>
      <c r="F206" s="699"/>
      <c r="G206" s="699"/>
      <c r="H206" s="216" t="s">
        <v>149</v>
      </c>
      <c r="I206" s="254"/>
      <c r="J206" s="255"/>
      <c r="K206" s="254"/>
      <c r="L206" s="253"/>
      <c r="M206" s="253"/>
      <c r="N206" s="255"/>
      <c r="O206" s="635">
        <f t="shared" si="68"/>
        <v>0</v>
      </c>
      <c r="P206" s="254"/>
      <c r="Q206" s="253"/>
      <c r="R206" s="253"/>
      <c r="S206" s="254"/>
      <c r="T206" s="253"/>
      <c r="U206" s="253"/>
    </row>
    <row r="207" spans="1:21" ht="63">
      <c r="A207" s="698"/>
      <c r="B207" s="698"/>
      <c r="C207" s="698"/>
      <c r="D207" s="698"/>
      <c r="E207" s="699"/>
      <c r="F207" s="260" t="s">
        <v>228</v>
      </c>
      <c r="G207" s="259"/>
      <c r="H207" s="216" t="s">
        <v>8</v>
      </c>
      <c r="I207" s="264">
        <f t="shared" ref="I207:U207" si="69">SUM(I201:I206)</f>
        <v>0</v>
      </c>
      <c r="J207" s="264">
        <f t="shared" si="69"/>
        <v>0</v>
      </c>
      <c r="K207" s="264">
        <f t="shared" si="69"/>
        <v>4</v>
      </c>
      <c r="L207" s="264">
        <f t="shared" si="69"/>
        <v>0</v>
      </c>
      <c r="M207" s="264">
        <f t="shared" si="69"/>
        <v>0</v>
      </c>
      <c r="N207" s="264">
        <f t="shared" si="69"/>
        <v>0</v>
      </c>
      <c r="O207" s="636">
        <f t="shared" si="69"/>
        <v>4</v>
      </c>
      <c r="P207" s="264">
        <f t="shared" si="69"/>
        <v>0</v>
      </c>
      <c r="Q207" s="264">
        <f t="shared" si="69"/>
        <v>0</v>
      </c>
      <c r="R207" s="264">
        <f t="shared" si="69"/>
        <v>0</v>
      </c>
      <c r="S207" s="264">
        <f t="shared" si="69"/>
        <v>0</v>
      </c>
      <c r="T207" s="264">
        <f t="shared" si="69"/>
        <v>0</v>
      </c>
      <c r="U207" s="264">
        <f t="shared" si="69"/>
        <v>0</v>
      </c>
    </row>
    <row r="208" spans="1:21" ht="15.75">
      <c r="A208" s="698"/>
      <c r="B208" s="698"/>
      <c r="C208" s="698"/>
      <c r="D208" s="698"/>
      <c r="E208" s="700" t="s">
        <v>180</v>
      </c>
      <c r="F208" s="706" t="s">
        <v>229</v>
      </c>
      <c r="G208" s="697">
        <v>188714469</v>
      </c>
      <c r="H208" s="216" t="s">
        <v>145</v>
      </c>
      <c r="I208" s="254"/>
      <c r="J208" s="255"/>
      <c r="K208" s="254"/>
      <c r="L208" s="253"/>
      <c r="M208" s="253"/>
      <c r="N208" s="255"/>
      <c r="O208" s="635">
        <v>0</v>
      </c>
      <c r="P208" s="254"/>
      <c r="Q208" s="253"/>
      <c r="R208" s="253"/>
      <c r="S208" s="254"/>
      <c r="T208" s="253"/>
      <c r="U208" s="253"/>
    </row>
    <row r="209" spans="1:21" ht="15.75">
      <c r="A209" s="698"/>
      <c r="B209" s="698"/>
      <c r="C209" s="698"/>
      <c r="D209" s="698"/>
      <c r="E209" s="698"/>
      <c r="F209" s="698"/>
      <c r="G209" s="698"/>
      <c r="H209" s="216" t="s">
        <v>146</v>
      </c>
      <c r="I209" s="254"/>
      <c r="J209" s="255"/>
      <c r="K209" s="254"/>
      <c r="L209" s="253"/>
      <c r="M209" s="253"/>
      <c r="N209" s="255"/>
      <c r="O209" s="635">
        <v>0</v>
      </c>
      <c r="P209" s="254"/>
      <c r="Q209" s="253"/>
      <c r="R209" s="253"/>
      <c r="S209" s="254"/>
      <c r="T209" s="253"/>
      <c r="U209" s="253"/>
    </row>
    <row r="210" spans="1:21" ht="15.75">
      <c r="A210" s="698"/>
      <c r="B210" s="698"/>
      <c r="C210" s="698"/>
      <c r="D210" s="698"/>
      <c r="E210" s="698"/>
      <c r="F210" s="698"/>
      <c r="G210" s="698"/>
      <c r="H210" s="216" t="s">
        <v>147</v>
      </c>
      <c r="I210" s="254"/>
      <c r="J210" s="255"/>
      <c r="K210" s="254"/>
      <c r="L210" s="253"/>
      <c r="M210" s="253"/>
      <c r="N210" s="255"/>
      <c r="O210" s="635">
        <v>0</v>
      </c>
      <c r="P210" s="254"/>
      <c r="Q210" s="253"/>
      <c r="R210" s="253"/>
      <c r="S210" s="254"/>
      <c r="T210" s="253"/>
      <c r="U210" s="253"/>
    </row>
    <row r="211" spans="1:21" ht="15.75">
      <c r="A211" s="698"/>
      <c r="B211" s="698"/>
      <c r="C211" s="698"/>
      <c r="D211" s="698"/>
      <c r="E211" s="698"/>
      <c r="F211" s="698"/>
      <c r="G211" s="698"/>
      <c r="H211" s="216" t="s">
        <v>148</v>
      </c>
      <c r="I211" s="254"/>
      <c r="J211" s="255"/>
      <c r="K211" s="254"/>
      <c r="L211" s="253"/>
      <c r="M211" s="253"/>
      <c r="N211" s="255"/>
      <c r="O211" s="635">
        <v>0</v>
      </c>
      <c r="P211" s="254"/>
      <c r="Q211" s="253"/>
      <c r="R211" s="253"/>
      <c r="S211" s="254"/>
      <c r="T211" s="253"/>
      <c r="U211" s="253"/>
    </row>
    <row r="212" spans="1:21" ht="15.75">
      <c r="A212" s="698"/>
      <c r="B212" s="698"/>
      <c r="C212" s="698"/>
      <c r="D212" s="698"/>
      <c r="E212" s="698"/>
      <c r="F212" s="698"/>
      <c r="G212" s="698"/>
      <c r="H212" s="216" t="s">
        <v>5</v>
      </c>
      <c r="I212" s="254"/>
      <c r="J212" s="255"/>
      <c r="K212" s="254"/>
      <c r="L212" s="253"/>
      <c r="M212" s="253"/>
      <c r="N212" s="255"/>
      <c r="O212" s="635">
        <v>0</v>
      </c>
      <c r="P212" s="254"/>
      <c r="Q212" s="253"/>
      <c r="R212" s="253"/>
      <c r="S212" s="254"/>
      <c r="T212" s="253"/>
      <c r="U212" s="253"/>
    </row>
    <row r="213" spans="1:21" ht="15.75">
      <c r="A213" s="698"/>
      <c r="B213" s="698"/>
      <c r="C213" s="698"/>
      <c r="D213" s="698"/>
      <c r="E213" s="698"/>
      <c r="F213" s="699"/>
      <c r="G213" s="699"/>
      <c r="H213" s="216" t="s">
        <v>149</v>
      </c>
      <c r="I213" s="254">
        <v>1.409</v>
      </c>
      <c r="J213" s="255">
        <f>0.185+1.051</f>
        <v>1.236</v>
      </c>
      <c r="K213" s="254">
        <v>44</v>
      </c>
      <c r="L213" s="253"/>
      <c r="M213" s="253"/>
      <c r="N213" s="261">
        <v>43</v>
      </c>
      <c r="O213" s="635">
        <v>45.408999999999999</v>
      </c>
      <c r="P213" s="254">
        <v>44</v>
      </c>
      <c r="Q213" s="253"/>
      <c r="R213" s="253"/>
      <c r="S213" s="254">
        <v>44</v>
      </c>
      <c r="T213" s="253"/>
      <c r="U213" s="253"/>
    </row>
    <row r="214" spans="1:21" ht="94.5">
      <c r="A214" s="698"/>
      <c r="B214" s="698"/>
      <c r="C214" s="698"/>
      <c r="D214" s="698"/>
      <c r="E214" s="699"/>
      <c r="F214" s="260" t="s">
        <v>230</v>
      </c>
      <c r="G214" s="259"/>
      <c r="H214" s="216" t="s">
        <v>8</v>
      </c>
      <c r="I214" s="264">
        <f t="shared" ref="I214:U214" si="70">SUM(I208:I213)</f>
        <v>1.409</v>
      </c>
      <c r="J214" s="264">
        <f t="shared" si="70"/>
        <v>1.236</v>
      </c>
      <c r="K214" s="264">
        <f t="shared" si="70"/>
        <v>44</v>
      </c>
      <c r="L214" s="264">
        <f t="shared" si="70"/>
        <v>0</v>
      </c>
      <c r="M214" s="264">
        <f t="shared" si="70"/>
        <v>0</v>
      </c>
      <c r="N214" s="264">
        <f t="shared" si="70"/>
        <v>43</v>
      </c>
      <c r="O214" s="636">
        <f t="shared" si="70"/>
        <v>45.408999999999999</v>
      </c>
      <c r="P214" s="264">
        <f t="shared" si="70"/>
        <v>44</v>
      </c>
      <c r="Q214" s="264">
        <f t="shared" si="70"/>
        <v>0</v>
      </c>
      <c r="R214" s="264">
        <f t="shared" si="70"/>
        <v>0</v>
      </c>
      <c r="S214" s="264">
        <f t="shared" si="70"/>
        <v>44</v>
      </c>
      <c r="T214" s="264">
        <f t="shared" si="70"/>
        <v>0</v>
      </c>
      <c r="U214" s="264">
        <f t="shared" si="70"/>
        <v>0</v>
      </c>
    </row>
    <row r="215" spans="1:21" ht="15.75">
      <c r="A215" s="698"/>
      <c r="B215" s="698"/>
      <c r="C215" s="698"/>
      <c r="D215" s="698"/>
      <c r="E215" s="700" t="s">
        <v>183</v>
      </c>
      <c r="F215" s="706" t="s">
        <v>231</v>
      </c>
      <c r="G215" s="697">
        <v>188714469</v>
      </c>
      <c r="H215" s="216" t="s">
        <v>145</v>
      </c>
      <c r="I215" s="254"/>
      <c r="J215" s="255"/>
      <c r="K215" s="254"/>
      <c r="L215" s="253"/>
      <c r="M215" s="253"/>
      <c r="N215" s="255"/>
      <c r="O215" s="635">
        <v>0</v>
      </c>
      <c r="P215" s="254"/>
      <c r="Q215" s="253"/>
      <c r="R215" s="253"/>
      <c r="S215" s="254"/>
      <c r="T215" s="253"/>
      <c r="U215" s="253"/>
    </row>
    <row r="216" spans="1:21" ht="15.75">
      <c r="A216" s="698"/>
      <c r="B216" s="698"/>
      <c r="C216" s="698"/>
      <c r="D216" s="698"/>
      <c r="E216" s="698"/>
      <c r="F216" s="698"/>
      <c r="G216" s="698"/>
      <c r="H216" s="216" t="s">
        <v>146</v>
      </c>
      <c r="I216" s="254"/>
      <c r="J216" s="255"/>
      <c r="K216" s="254"/>
      <c r="L216" s="253"/>
      <c r="M216" s="253"/>
      <c r="N216" s="255"/>
      <c r="O216" s="635">
        <v>0</v>
      </c>
      <c r="P216" s="254"/>
      <c r="Q216" s="253"/>
      <c r="R216" s="253"/>
      <c r="S216" s="254"/>
      <c r="T216" s="253"/>
      <c r="U216" s="253"/>
    </row>
    <row r="217" spans="1:21" ht="15.75">
      <c r="A217" s="698"/>
      <c r="B217" s="698"/>
      <c r="C217" s="698"/>
      <c r="D217" s="698"/>
      <c r="E217" s="698"/>
      <c r="F217" s="698"/>
      <c r="G217" s="698"/>
      <c r="H217" s="216" t="s">
        <v>147</v>
      </c>
      <c r="I217" s="254"/>
      <c r="J217" s="255"/>
      <c r="K217" s="254"/>
      <c r="L217" s="253"/>
      <c r="M217" s="253"/>
      <c r="N217" s="255"/>
      <c r="O217" s="635">
        <v>0</v>
      </c>
      <c r="P217" s="254"/>
      <c r="Q217" s="253"/>
      <c r="R217" s="253"/>
      <c r="S217" s="254"/>
      <c r="T217" s="253"/>
      <c r="U217" s="253"/>
    </row>
    <row r="218" spans="1:21" ht="15.75">
      <c r="A218" s="698"/>
      <c r="B218" s="698"/>
      <c r="C218" s="698"/>
      <c r="D218" s="698"/>
      <c r="E218" s="698"/>
      <c r="F218" s="698"/>
      <c r="G218" s="698"/>
      <c r="H218" s="216" t="s">
        <v>148</v>
      </c>
      <c r="I218" s="254"/>
      <c r="J218" s="255"/>
      <c r="K218" s="254"/>
      <c r="L218" s="253"/>
      <c r="M218" s="253"/>
      <c r="N218" s="255"/>
      <c r="O218" s="635">
        <v>0</v>
      </c>
      <c r="P218" s="254"/>
      <c r="Q218" s="253"/>
      <c r="R218" s="253"/>
      <c r="S218" s="254"/>
      <c r="T218" s="253"/>
      <c r="U218" s="253"/>
    </row>
    <row r="219" spans="1:21" ht="15.75">
      <c r="A219" s="698"/>
      <c r="B219" s="698"/>
      <c r="C219" s="698"/>
      <c r="D219" s="698"/>
      <c r="E219" s="698"/>
      <c r="F219" s="698"/>
      <c r="G219" s="698"/>
      <c r="H219" s="216" t="s">
        <v>5</v>
      </c>
      <c r="I219" s="254"/>
      <c r="J219" s="255"/>
      <c r="K219" s="254"/>
      <c r="L219" s="253"/>
      <c r="M219" s="253"/>
      <c r="N219" s="255"/>
      <c r="O219" s="635">
        <v>0</v>
      </c>
      <c r="P219" s="254"/>
      <c r="Q219" s="253"/>
      <c r="R219" s="253"/>
      <c r="S219" s="254"/>
      <c r="T219" s="253"/>
      <c r="U219" s="253"/>
    </row>
    <row r="220" spans="1:21" ht="15.75">
      <c r="A220" s="698"/>
      <c r="B220" s="698"/>
      <c r="C220" s="698"/>
      <c r="D220" s="698"/>
      <c r="E220" s="698"/>
      <c r="F220" s="699"/>
      <c r="G220" s="699"/>
      <c r="H220" s="216" t="s">
        <v>149</v>
      </c>
      <c r="I220" s="254"/>
      <c r="J220" s="255"/>
      <c r="K220" s="254">
        <v>6</v>
      </c>
      <c r="L220" s="253"/>
      <c r="M220" s="253"/>
      <c r="N220" s="255">
        <v>5.9</v>
      </c>
      <c r="O220" s="635">
        <v>6</v>
      </c>
      <c r="P220" s="254">
        <v>6</v>
      </c>
      <c r="Q220" s="253"/>
      <c r="R220" s="253"/>
      <c r="S220" s="254">
        <v>6</v>
      </c>
      <c r="T220" s="253"/>
      <c r="U220" s="253"/>
    </row>
    <row r="221" spans="1:21" ht="31.5">
      <c r="A221" s="698"/>
      <c r="B221" s="698"/>
      <c r="C221" s="698"/>
      <c r="D221" s="698"/>
      <c r="E221" s="699"/>
      <c r="F221" s="260" t="s">
        <v>232</v>
      </c>
      <c r="G221" s="259"/>
      <c r="H221" s="216" t="s">
        <v>8</v>
      </c>
      <c r="I221" s="250">
        <f t="shared" ref="I221:U221" si="71">SUM(I215:I220)</f>
        <v>0</v>
      </c>
      <c r="J221" s="250">
        <f t="shared" si="71"/>
        <v>0</v>
      </c>
      <c r="K221" s="250">
        <f t="shared" si="71"/>
        <v>6</v>
      </c>
      <c r="L221" s="250">
        <f t="shared" si="71"/>
        <v>0</v>
      </c>
      <c r="M221" s="250">
        <f t="shared" si="71"/>
        <v>0</v>
      </c>
      <c r="N221" s="250">
        <f t="shared" si="71"/>
        <v>5.9</v>
      </c>
      <c r="O221" s="636">
        <f t="shared" si="71"/>
        <v>6</v>
      </c>
      <c r="P221" s="250">
        <f t="shared" si="71"/>
        <v>6</v>
      </c>
      <c r="Q221" s="250">
        <f t="shared" si="71"/>
        <v>0</v>
      </c>
      <c r="R221" s="250">
        <f t="shared" si="71"/>
        <v>0</v>
      </c>
      <c r="S221" s="250">
        <f t="shared" si="71"/>
        <v>6</v>
      </c>
      <c r="T221" s="250">
        <f t="shared" si="71"/>
        <v>0</v>
      </c>
      <c r="U221" s="250">
        <f t="shared" si="71"/>
        <v>0</v>
      </c>
    </row>
    <row r="222" spans="1:21" ht="15.75">
      <c r="A222" s="698"/>
      <c r="B222" s="698"/>
      <c r="C222" s="698"/>
      <c r="D222" s="698"/>
      <c r="E222" s="700" t="s">
        <v>186</v>
      </c>
      <c r="F222" s="706" t="s">
        <v>233</v>
      </c>
      <c r="G222" s="697">
        <v>188714469</v>
      </c>
      <c r="H222" s="216" t="s">
        <v>145</v>
      </c>
      <c r="I222" s="254"/>
      <c r="J222" s="255"/>
      <c r="K222" s="254"/>
      <c r="L222" s="253"/>
      <c r="M222" s="253"/>
      <c r="N222" s="255"/>
      <c r="O222" s="635">
        <v>0</v>
      </c>
      <c r="P222" s="254"/>
      <c r="Q222" s="253"/>
      <c r="R222" s="253"/>
      <c r="S222" s="254"/>
      <c r="T222" s="253"/>
      <c r="U222" s="253"/>
    </row>
    <row r="223" spans="1:21" ht="15.75" customHeight="1">
      <c r="A223" s="698"/>
      <c r="B223" s="698"/>
      <c r="C223" s="698"/>
      <c r="D223" s="698"/>
      <c r="E223" s="698"/>
      <c r="F223" s="698"/>
      <c r="G223" s="698"/>
      <c r="H223" s="216" t="s">
        <v>146</v>
      </c>
      <c r="I223" s="254"/>
      <c r="J223" s="255"/>
      <c r="K223" s="254"/>
      <c r="L223" s="253"/>
      <c r="M223" s="253"/>
      <c r="N223" s="255"/>
      <c r="O223" s="635">
        <v>0</v>
      </c>
      <c r="P223" s="254"/>
      <c r="Q223" s="253"/>
      <c r="R223" s="253"/>
      <c r="S223" s="254"/>
      <c r="T223" s="253"/>
      <c r="U223" s="253"/>
    </row>
    <row r="224" spans="1:21" ht="15.75">
      <c r="A224" s="698"/>
      <c r="B224" s="698"/>
      <c r="C224" s="698"/>
      <c r="D224" s="698"/>
      <c r="E224" s="698"/>
      <c r="F224" s="698"/>
      <c r="G224" s="698"/>
      <c r="H224" s="216" t="s">
        <v>147</v>
      </c>
      <c r="I224" s="254"/>
      <c r="J224" s="255"/>
      <c r="K224" s="254"/>
      <c r="L224" s="253"/>
      <c r="M224" s="253"/>
      <c r="N224" s="255"/>
      <c r="O224" s="635">
        <v>0</v>
      </c>
      <c r="P224" s="254"/>
      <c r="Q224" s="253"/>
      <c r="R224" s="253"/>
      <c r="S224" s="254"/>
      <c r="T224" s="253"/>
      <c r="U224" s="253"/>
    </row>
    <row r="225" spans="1:21" ht="15.75">
      <c r="A225" s="698"/>
      <c r="B225" s="698"/>
      <c r="C225" s="698"/>
      <c r="D225" s="698"/>
      <c r="E225" s="698"/>
      <c r="F225" s="698"/>
      <c r="G225" s="698"/>
      <c r="H225" s="216" t="s">
        <v>148</v>
      </c>
      <c r="I225" s="254"/>
      <c r="J225" s="255"/>
      <c r="K225" s="254"/>
      <c r="L225" s="253"/>
      <c r="M225" s="253"/>
      <c r="N225" s="255"/>
      <c r="O225" s="635">
        <v>0</v>
      </c>
      <c r="P225" s="254"/>
      <c r="Q225" s="253"/>
      <c r="R225" s="253"/>
      <c r="S225" s="254"/>
      <c r="T225" s="253"/>
      <c r="U225" s="253"/>
    </row>
    <row r="226" spans="1:21" ht="15.75">
      <c r="A226" s="698"/>
      <c r="B226" s="698"/>
      <c r="C226" s="698"/>
      <c r="D226" s="698"/>
      <c r="E226" s="698"/>
      <c r="F226" s="698"/>
      <c r="G226" s="698"/>
      <c r="H226" s="216" t="s">
        <v>5</v>
      </c>
      <c r="I226" s="254"/>
      <c r="J226" s="255"/>
      <c r="K226" s="254"/>
      <c r="L226" s="253"/>
      <c r="M226" s="253"/>
      <c r="N226" s="255"/>
      <c r="O226" s="635">
        <v>0</v>
      </c>
      <c r="P226" s="254"/>
      <c r="Q226" s="253"/>
      <c r="R226" s="253"/>
      <c r="S226" s="254"/>
      <c r="T226" s="253"/>
      <c r="U226" s="253"/>
    </row>
    <row r="227" spans="1:21" ht="15.75">
      <c r="A227" s="698"/>
      <c r="B227" s="698"/>
      <c r="C227" s="698"/>
      <c r="D227" s="698"/>
      <c r="E227" s="698"/>
      <c r="F227" s="699"/>
      <c r="G227" s="699"/>
      <c r="H227" s="216" t="s">
        <v>149</v>
      </c>
      <c r="I227" s="254">
        <v>66.62</v>
      </c>
      <c r="J227" s="255">
        <v>4.4550000000000001</v>
      </c>
      <c r="K227" s="254">
        <v>170</v>
      </c>
      <c r="L227" s="253"/>
      <c r="M227" s="253"/>
      <c r="N227" s="255">
        <v>10</v>
      </c>
      <c r="O227" s="635">
        <v>236.62</v>
      </c>
      <c r="P227" s="254">
        <v>170</v>
      </c>
      <c r="Q227" s="253"/>
      <c r="R227" s="253"/>
      <c r="S227" s="254"/>
      <c r="T227" s="253"/>
      <c r="U227" s="253"/>
    </row>
    <row r="228" spans="1:21" ht="31.5">
      <c r="A228" s="698"/>
      <c r="B228" s="698"/>
      <c r="C228" s="698"/>
      <c r="D228" s="698"/>
      <c r="E228" s="699"/>
      <c r="F228" s="260" t="s">
        <v>234</v>
      </c>
      <c r="G228" s="259"/>
      <c r="H228" s="216" t="s">
        <v>8</v>
      </c>
      <c r="I228" s="250">
        <f t="shared" ref="I228:U228" si="72">SUM(I222:I227)</f>
        <v>66.62</v>
      </c>
      <c r="J228" s="250">
        <f t="shared" si="72"/>
        <v>4.4550000000000001</v>
      </c>
      <c r="K228" s="250">
        <f t="shared" si="72"/>
        <v>170</v>
      </c>
      <c r="L228" s="250">
        <f t="shared" si="72"/>
        <v>0</v>
      </c>
      <c r="M228" s="250">
        <f t="shared" si="72"/>
        <v>0</v>
      </c>
      <c r="N228" s="250">
        <f t="shared" si="72"/>
        <v>10</v>
      </c>
      <c r="O228" s="636">
        <f t="shared" si="72"/>
        <v>236.62</v>
      </c>
      <c r="P228" s="250">
        <f t="shared" si="72"/>
        <v>170</v>
      </c>
      <c r="Q228" s="250">
        <f t="shared" si="72"/>
        <v>0</v>
      </c>
      <c r="R228" s="250">
        <f t="shared" si="72"/>
        <v>0</v>
      </c>
      <c r="S228" s="250">
        <f t="shared" si="72"/>
        <v>0</v>
      </c>
      <c r="T228" s="250">
        <f t="shared" si="72"/>
        <v>0</v>
      </c>
      <c r="U228" s="250">
        <f t="shared" si="72"/>
        <v>0</v>
      </c>
    </row>
    <row r="229" spans="1:21" ht="15.75">
      <c r="A229" s="698"/>
      <c r="B229" s="698"/>
      <c r="C229" s="698"/>
      <c r="D229" s="698"/>
      <c r="E229" s="700" t="s">
        <v>189</v>
      </c>
      <c r="F229" s="720" t="s">
        <v>235</v>
      </c>
      <c r="G229" s="703" t="s">
        <v>236</v>
      </c>
      <c r="H229" s="216" t="s">
        <v>145</v>
      </c>
      <c r="I229" s="254"/>
      <c r="J229" s="255"/>
      <c r="K229" s="254"/>
      <c r="L229" s="253"/>
      <c r="M229" s="253"/>
      <c r="N229" s="255"/>
      <c r="O229" s="635">
        <f t="shared" ref="O229:O234" si="73">I229+K229</f>
        <v>0</v>
      </c>
      <c r="P229" s="254"/>
      <c r="Q229" s="253"/>
      <c r="R229" s="253"/>
      <c r="S229" s="254"/>
      <c r="T229" s="253"/>
      <c r="U229" s="253"/>
    </row>
    <row r="230" spans="1:21" ht="15.75" customHeight="1">
      <c r="A230" s="698"/>
      <c r="B230" s="698"/>
      <c r="C230" s="698"/>
      <c r="D230" s="698"/>
      <c r="E230" s="698"/>
      <c r="F230" s="698"/>
      <c r="G230" s="707"/>
      <c r="H230" s="216" t="s">
        <v>146</v>
      </c>
      <c r="I230" s="254"/>
      <c r="J230" s="255"/>
      <c r="K230" s="254"/>
      <c r="L230" s="253"/>
      <c r="M230" s="253"/>
      <c r="N230" s="255"/>
      <c r="O230" s="635">
        <f t="shared" si="73"/>
        <v>0</v>
      </c>
      <c r="P230" s="254"/>
      <c r="Q230" s="253"/>
      <c r="R230" s="253"/>
      <c r="S230" s="254"/>
      <c r="T230" s="253"/>
      <c r="U230" s="253"/>
    </row>
    <row r="231" spans="1:21" ht="15.75">
      <c r="A231" s="698"/>
      <c r="B231" s="698"/>
      <c r="C231" s="698"/>
      <c r="D231" s="698"/>
      <c r="E231" s="698"/>
      <c r="F231" s="698"/>
      <c r="G231" s="707"/>
      <c r="H231" s="216" t="s">
        <v>147</v>
      </c>
      <c r="I231" s="254"/>
      <c r="J231" s="255"/>
      <c r="K231" s="254"/>
      <c r="L231" s="253"/>
      <c r="M231" s="253"/>
      <c r="N231" s="255"/>
      <c r="O231" s="635">
        <f t="shared" si="73"/>
        <v>0</v>
      </c>
      <c r="P231" s="254"/>
      <c r="Q231" s="253"/>
      <c r="R231" s="253"/>
      <c r="S231" s="254"/>
      <c r="T231" s="253"/>
      <c r="U231" s="253"/>
    </row>
    <row r="232" spans="1:21" ht="15.75">
      <c r="A232" s="698"/>
      <c r="B232" s="698"/>
      <c r="C232" s="698"/>
      <c r="D232" s="698"/>
      <c r="E232" s="698"/>
      <c r="F232" s="698"/>
      <c r="G232" s="707"/>
      <c r="H232" s="216" t="s">
        <v>148</v>
      </c>
      <c r="I232" s="254"/>
      <c r="J232" s="255"/>
      <c r="K232" s="254"/>
      <c r="L232" s="253"/>
      <c r="M232" s="253"/>
      <c r="N232" s="255"/>
      <c r="O232" s="635">
        <f t="shared" si="73"/>
        <v>0</v>
      </c>
      <c r="P232" s="254"/>
      <c r="Q232" s="253"/>
      <c r="R232" s="253"/>
      <c r="S232" s="254"/>
      <c r="T232" s="253"/>
      <c r="U232" s="253"/>
    </row>
    <row r="233" spans="1:21" ht="15.75">
      <c r="A233" s="698"/>
      <c r="B233" s="698"/>
      <c r="C233" s="698"/>
      <c r="D233" s="698"/>
      <c r="E233" s="698"/>
      <c r="F233" s="698"/>
      <c r="G233" s="707"/>
      <c r="H233" s="216" t="s">
        <v>5</v>
      </c>
      <c r="I233" s="254"/>
      <c r="J233" s="255"/>
      <c r="K233" s="267">
        <v>160</v>
      </c>
      <c r="L233" s="266">
        <v>10</v>
      </c>
      <c r="M233" s="253">
        <v>150</v>
      </c>
      <c r="N233" s="255"/>
      <c r="O233" s="635">
        <f t="shared" si="73"/>
        <v>160</v>
      </c>
      <c r="P233" s="254"/>
      <c r="Q233" s="253"/>
      <c r="R233" s="253"/>
      <c r="S233" s="254"/>
      <c r="T233" s="253"/>
      <c r="U233" s="253"/>
    </row>
    <row r="234" spans="1:21" ht="15.75">
      <c r="A234" s="698"/>
      <c r="B234" s="698"/>
      <c r="C234" s="698"/>
      <c r="D234" s="698"/>
      <c r="E234" s="698"/>
      <c r="F234" s="699"/>
      <c r="G234" s="708"/>
      <c r="H234" s="216" t="s">
        <v>149</v>
      </c>
      <c r="I234" s="254">
        <v>200.13900000000001</v>
      </c>
      <c r="J234" s="255">
        <v>3.891</v>
      </c>
      <c r="K234" s="254">
        <v>240</v>
      </c>
      <c r="L234" s="253"/>
      <c r="M234" s="253"/>
      <c r="N234" s="255">
        <v>17.2</v>
      </c>
      <c r="O234" s="635">
        <f t="shared" si="73"/>
        <v>440.13900000000001</v>
      </c>
      <c r="P234" s="254"/>
      <c r="Q234" s="253"/>
      <c r="R234" s="253"/>
      <c r="S234" s="254"/>
      <c r="T234" s="253"/>
      <c r="U234" s="253"/>
    </row>
    <row r="235" spans="1:21" ht="47.25">
      <c r="A235" s="698"/>
      <c r="B235" s="698"/>
      <c r="C235" s="698"/>
      <c r="D235" s="698"/>
      <c r="E235" s="699"/>
      <c r="F235" s="265" t="s">
        <v>237</v>
      </c>
      <c r="G235" s="259"/>
      <c r="H235" s="216" t="s">
        <v>8</v>
      </c>
      <c r="I235" s="264">
        <f t="shared" ref="I235:U235" si="74">SUM(I229:I234)</f>
        <v>200.13900000000001</v>
      </c>
      <c r="J235" s="264">
        <f t="shared" si="74"/>
        <v>3.891</v>
      </c>
      <c r="K235" s="264">
        <f t="shared" si="74"/>
        <v>400</v>
      </c>
      <c r="L235" s="264">
        <f t="shared" si="74"/>
        <v>10</v>
      </c>
      <c r="M235" s="264">
        <f t="shared" si="74"/>
        <v>150</v>
      </c>
      <c r="N235" s="264">
        <f t="shared" si="74"/>
        <v>17.2</v>
      </c>
      <c r="O235" s="636">
        <f t="shared" si="74"/>
        <v>600.13900000000001</v>
      </c>
      <c r="P235" s="264">
        <f t="shared" si="74"/>
        <v>0</v>
      </c>
      <c r="Q235" s="264">
        <f t="shared" si="74"/>
        <v>0</v>
      </c>
      <c r="R235" s="264">
        <f t="shared" si="74"/>
        <v>0</v>
      </c>
      <c r="S235" s="264">
        <f t="shared" si="74"/>
        <v>0</v>
      </c>
      <c r="T235" s="264">
        <f t="shared" si="74"/>
        <v>0</v>
      </c>
      <c r="U235" s="264">
        <f t="shared" si="74"/>
        <v>0</v>
      </c>
    </row>
    <row r="236" spans="1:21" ht="15.75">
      <c r="A236" s="698"/>
      <c r="B236" s="698"/>
      <c r="C236" s="698"/>
      <c r="D236" s="698"/>
      <c r="E236" s="700" t="s">
        <v>192</v>
      </c>
      <c r="F236" s="702" t="s">
        <v>238</v>
      </c>
      <c r="G236" s="709" t="s">
        <v>239</v>
      </c>
      <c r="H236" s="216" t="s">
        <v>145</v>
      </c>
      <c r="I236" s="254"/>
      <c r="J236" s="255"/>
      <c r="K236" s="263"/>
      <c r="L236" s="253"/>
      <c r="M236" s="253"/>
      <c r="N236" s="255"/>
      <c r="O236" s="635">
        <f t="shared" ref="O236:O241" si="75">I236+K236</f>
        <v>0</v>
      </c>
      <c r="P236" s="254"/>
      <c r="Q236" s="253"/>
      <c r="R236" s="253"/>
      <c r="S236" s="254"/>
      <c r="T236" s="253"/>
      <c r="U236" s="253"/>
    </row>
    <row r="237" spans="1:21" ht="15.75" customHeight="1">
      <c r="A237" s="698"/>
      <c r="B237" s="698"/>
      <c r="C237" s="698"/>
      <c r="D237" s="698"/>
      <c r="E237" s="698"/>
      <c r="F237" s="698"/>
      <c r="G237" s="707"/>
      <c r="H237" s="216" t="s">
        <v>146</v>
      </c>
      <c r="I237" s="254"/>
      <c r="J237" s="255"/>
      <c r="K237" s="254"/>
      <c r="L237" s="253"/>
      <c r="M237" s="253"/>
      <c r="N237" s="255"/>
      <c r="O237" s="635">
        <f t="shared" si="75"/>
        <v>0</v>
      </c>
      <c r="P237" s="254"/>
      <c r="Q237" s="253"/>
      <c r="R237" s="253"/>
      <c r="S237" s="254"/>
      <c r="T237" s="253"/>
      <c r="U237" s="253"/>
    </row>
    <row r="238" spans="1:21" ht="15.75">
      <c r="A238" s="698"/>
      <c r="B238" s="698"/>
      <c r="C238" s="698"/>
      <c r="D238" s="698"/>
      <c r="E238" s="698"/>
      <c r="F238" s="698"/>
      <c r="G238" s="707"/>
      <c r="H238" s="216" t="s">
        <v>147</v>
      </c>
      <c r="I238" s="254"/>
      <c r="J238" s="255"/>
      <c r="K238" s="254"/>
      <c r="L238" s="253"/>
      <c r="M238" s="253"/>
      <c r="N238" s="255"/>
      <c r="O238" s="635">
        <f t="shared" si="75"/>
        <v>0</v>
      </c>
      <c r="P238" s="254"/>
      <c r="Q238" s="253"/>
      <c r="R238" s="253"/>
      <c r="S238" s="254"/>
      <c r="T238" s="253"/>
      <c r="U238" s="253"/>
    </row>
    <row r="239" spans="1:21" ht="15.75">
      <c r="A239" s="698"/>
      <c r="B239" s="698"/>
      <c r="C239" s="698"/>
      <c r="D239" s="698"/>
      <c r="E239" s="698"/>
      <c r="F239" s="698"/>
      <c r="G239" s="707"/>
      <c r="H239" s="216" t="s">
        <v>148</v>
      </c>
      <c r="I239" s="254"/>
      <c r="J239" s="255"/>
      <c r="K239" s="254"/>
      <c r="L239" s="253"/>
      <c r="M239" s="253"/>
      <c r="N239" s="255"/>
      <c r="O239" s="635">
        <f t="shared" si="75"/>
        <v>0</v>
      </c>
      <c r="P239" s="254"/>
      <c r="Q239" s="253"/>
      <c r="R239" s="253"/>
      <c r="S239" s="254"/>
      <c r="T239" s="253"/>
      <c r="U239" s="253"/>
    </row>
    <row r="240" spans="1:21" ht="15.75">
      <c r="A240" s="698"/>
      <c r="B240" s="698"/>
      <c r="C240" s="698"/>
      <c r="D240" s="698"/>
      <c r="E240" s="698"/>
      <c r="F240" s="698"/>
      <c r="G240" s="707"/>
      <c r="H240" s="216" t="s">
        <v>5</v>
      </c>
      <c r="I240" s="254"/>
      <c r="J240" s="255"/>
      <c r="K240" s="254">
        <v>386.6</v>
      </c>
      <c r="L240" s="253">
        <v>386.6</v>
      </c>
      <c r="M240" s="253"/>
      <c r="N240" s="255"/>
      <c r="O240" s="635">
        <f t="shared" si="75"/>
        <v>386.6</v>
      </c>
      <c r="P240" s="254"/>
      <c r="Q240" s="253"/>
      <c r="R240" s="253"/>
      <c r="S240" s="254"/>
      <c r="T240" s="253"/>
      <c r="U240" s="253"/>
    </row>
    <row r="241" spans="1:21" ht="15.75">
      <c r="A241" s="698"/>
      <c r="B241" s="698"/>
      <c r="C241" s="698"/>
      <c r="D241" s="698"/>
      <c r="E241" s="698"/>
      <c r="F241" s="699"/>
      <c r="G241" s="708"/>
      <c r="H241" s="216" t="s">
        <v>149</v>
      </c>
      <c r="I241" s="254">
        <v>6.8730000000000002</v>
      </c>
      <c r="J241" s="255">
        <v>3.0059999999999998</v>
      </c>
      <c r="K241" s="254">
        <v>672.3</v>
      </c>
      <c r="L241" s="253"/>
      <c r="M241" s="253"/>
      <c r="N241" s="255">
        <v>17.3</v>
      </c>
      <c r="O241" s="635">
        <f t="shared" si="75"/>
        <v>679.173</v>
      </c>
      <c r="P241" s="254"/>
      <c r="Q241" s="253"/>
      <c r="R241" s="253"/>
      <c r="S241" s="254"/>
      <c r="T241" s="253"/>
      <c r="U241" s="253"/>
    </row>
    <row r="242" spans="1:21" ht="31.5">
      <c r="A242" s="698"/>
      <c r="B242" s="698"/>
      <c r="C242" s="698"/>
      <c r="D242" s="698"/>
      <c r="E242" s="699"/>
      <c r="F242" s="262" t="s">
        <v>240</v>
      </c>
      <c r="G242" s="251"/>
      <c r="H242" s="216" t="s">
        <v>8</v>
      </c>
      <c r="I242" s="250">
        <f t="shared" ref="I242:U242" si="76">SUM(I236:I241)</f>
        <v>6.8730000000000002</v>
      </c>
      <c r="J242" s="250">
        <f t="shared" si="76"/>
        <v>3.0059999999999998</v>
      </c>
      <c r="K242" s="250">
        <f t="shared" si="76"/>
        <v>1058.9000000000001</v>
      </c>
      <c r="L242" s="250">
        <f t="shared" si="76"/>
        <v>386.6</v>
      </c>
      <c r="M242" s="250">
        <f t="shared" si="76"/>
        <v>0</v>
      </c>
      <c r="N242" s="250">
        <f t="shared" si="76"/>
        <v>17.3</v>
      </c>
      <c r="O242" s="636">
        <f t="shared" si="76"/>
        <v>1065.7730000000001</v>
      </c>
      <c r="P242" s="250">
        <f t="shared" si="76"/>
        <v>0</v>
      </c>
      <c r="Q242" s="250">
        <f t="shared" si="76"/>
        <v>0</v>
      </c>
      <c r="R242" s="250">
        <f t="shared" si="76"/>
        <v>0</v>
      </c>
      <c r="S242" s="250">
        <f t="shared" si="76"/>
        <v>0</v>
      </c>
      <c r="T242" s="250">
        <f t="shared" si="76"/>
        <v>0</v>
      </c>
      <c r="U242" s="250">
        <f t="shared" si="76"/>
        <v>0</v>
      </c>
    </row>
    <row r="243" spans="1:21" ht="15.75">
      <c r="A243" s="698"/>
      <c r="B243" s="698"/>
      <c r="C243" s="698"/>
      <c r="D243" s="698"/>
      <c r="E243" s="700" t="s">
        <v>195</v>
      </c>
      <c r="F243" s="706" t="s">
        <v>241</v>
      </c>
      <c r="G243" s="703" t="s">
        <v>236</v>
      </c>
      <c r="H243" s="216" t="s">
        <v>145</v>
      </c>
      <c r="I243" s="254"/>
      <c r="J243" s="255"/>
      <c r="K243" s="254"/>
      <c r="L243" s="253"/>
      <c r="M243" s="253"/>
      <c r="N243" s="255"/>
      <c r="O243" s="635">
        <f t="shared" ref="O243:O248" si="77">I243+K243</f>
        <v>0</v>
      </c>
      <c r="P243" s="254"/>
      <c r="Q243" s="253"/>
      <c r="R243" s="253"/>
      <c r="S243" s="254"/>
      <c r="T243" s="253"/>
      <c r="U243" s="253"/>
    </row>
    <row r="244" spans="1:21" ht="15.75" customHeight="1">
      <c r="A244" s="698"/>
      <c r="B244" s="698"/>
      <c r="C244" s="698"/>
      <c r="D244" s="698"/>
      <c r="E244" s="698"/>
      <c r="F244" s="698"/>
      <c r="G244" s="707"/>
      <c r="H244" s="216" t="s">
        <v>146</v>
      </c>
      <c r="I244" s="254"/>
      <c r="J244" s="255"/>
      <c r="K244" s="254"/>
      <c r="L244" s="253"/>
      <c r="M244" s="253"/>
      <c r="N244" s="255"/>
      <c r="O244" s="635">
        <f t="shared" si="77"/>
        <v>0</v>
      </c>
      <c r="P244" s="254"/>
      <c r="Q244" s="253"/>
      <c r="R244" s="253"/>
      <c r="S244" s="254"/>
      <c r="T244" s="253"/>
      <c r="U244" s="253"/>
    </row>
    <row r="245" spans="1:21" ht="15.75">
      <c r="A245" s="698"/>
      <c r="B245" s="698"/>
      <c r="C245" s="698"/>
      <c r="D245" s="698"/>
      <c r="E245" s="698"/>
      <c r="F245" s="698"/>
      <c r="G245" s="707"/>
      <c r="H245" s="216" t="s">
        <v>147</v>
      </c>
      <c r="I245" s="254"/>
      <c r="J245" s="255"/>
      <c r="K245" s="254"/>
      <c r="L245" s="253"/>
      <c r="M245" s="253"/>
      <c r="N245" s="255"/>
      <c r="O245" s="635">
        <f t="shared" si="77"/>
        <v>0</v>
      </c>
      <c r="P245" s="254"/>
      <c r="Q245" s="253"/>
      <c r="R245" s="253"/>
      <c r="S245" s="254"/>
      <c r="T245" s="253"/>
      <c r="U245" s="253"/>
    </row>
    <row r="246" spans="1:21" ht="15.75">
      <c r="A246" s="698"/>
      <c r="B246" s="698"/>
      <c r="C246" s="698"/>
      <c r="D246" s="698"/>
      <c r="E246" s="698"/>
      <c r="F246" s="698"/>
      <c r="G246" s="707"/>
      <c r="H246" s="216" t="s">
        <v>148</v>
      </c>
      <c r="I246" s="254"/>
      <c r="J246" s="255"/>
      <c r="K246" s="254"/>
      <c r="L246" s="253"/>
      <c r="M246" s="253"/>
      <c r="N246" s="255"/>
      <c r="O246" s="635">
        <f t="shared" si="77"/>
        <v>0</v>
      </c>
      <c r="P246" s="254"/>
      <c r="Q246" s="253"/>
      <c r="R246" s="253"/>
      <c r="S246" s="254"/>
      <c r="T246" s="253"/>
      <c r="U246" s="253"/>
    </row>
    <row r="247" spans="1:21" ht="15.75">
      <c r="A247" s="698"/>
      <c r="B247" s="698"/>
      <c r="C247" s="698"/>
      <c r="D247" s="698"/>
      <c r="E247" s="698"/>
      <c r="F247" s="698"/>
      <c r="G247" s="707"/>
      <c r="H247" s="216" t="s">
        <v>5</v>
      </c>
      <c r="I247" s="254"/>
      <c r="J247" s="255"/>
      <c r="K247" s="254">
        <v>615.9</v>
      </c>
      <c r="L247" s="253">
        <v>465.9</v>
      </c>
      <c r="M247" s="253">
        <v>150</v>
      </c>
      <c r="N247" s="255"/>
      <c r="O247" s="635">
        <f t="shared" si="77"/>
        <v>615.9</v>
      </c>
      <c r="P247" s="254">
        <v>6.1</v>
      </c>
      <c r="Q247" s="253">
        <v>6.1</v>
      </c>
      <c r="R247" s="253"/>
      <c r="S247" s="254"/>
      <c r="T247" s="253"/>
      <c r="U247" s="253"/>
    </row>
    <row r="248" spans="1:21" ht="15.75">
      <c r="A248" s="698"/>
      <c r="B248" s="698"/>
      <c r="C248" s="698"/>
      <c r="D248" s="698"/>
      <c r="E248" s="698"/>
      <c r="F248" s="699"/>
      <c r="G248" s="708"/>
      <c r="H248" s="216" t="s">
        <v>149</v>
      </c>
      <c r="I248" s="254"/>
      <c r="J248" s="255"/>
      <c r="K248" s="254">
        <v>722.9</v>
      </c>
      <c r="L248" s="253"/>
      <c r="M248" s="253"/>
      <c r="N248" s="255">
        <v>17.3</v>
      </c>
      <c r="O248" s="635">
        <f t="shared" si="77"/>
        <v>722.9</v>
      </c>
      <c r="P248" s="254">
        <v>9.3000000000000007</v>
      </c>
      <c r="Q248" s="253"/>
      <c r="R248" s="253"/>
      <c r="S248" s="254"/>
      <c r="T248" s="253"/>
      <c r="U248" s="253"/>
    </row>
    <row r="249" spans="1:21" ht="31.5">
      <c r="A249" s="698"/>
      <c r="B249" s="698"/>
      <c r="C249" s="698"/>
      <c r="D249" s="698"/>
      <c r="E249" s="699"/>
      <c r="F249" s="260" t="s">
        <v>242</v>
      </c>
      <c r="G249" s="259"/>
      <c r="H249" s="216" t="s">
        <v>8</v>
      </c>
      <c r="I249" s="250">
        <f t="shared" ref="I249:U249" si="78">SUM(I243:I248)</f>
        <v>0</v>
      </c>
      <c r="J249" s="250">
        <f t="shared" si="78"/>
        <v>0</v>
      </c>
      <c r="K249" s="250">
        <f t="shared" si="78"/>
        <v>1338.8</v>
      </c>
      <c r="L249" s="250">
        <f t="shared" si="78"/>
        <v>465.9</v>
      </c>
      <c r="M249" s="250">
        <f t="shared" si="78"/>
        <v>150</v>
      </c>
      <c r="N249" s="250">
        <f t="shared" si="78"/>
        <v>17.3</v>
      </c>
      <c r="O249" s="636">
        <f t="shared" si="78"/>
        <v>1338.8</v>
      </c>
      <c r="P249" s="250">
        <f t="shared" si="78"/>
        <v>15.4</v>
      </c>
      <c r="Q249" s="250">
        <f t="shared" si="78"/>
        <v>6.1</v>
      </c>
      <c r="R249" s="250">
        <f t="shared" si="78"/>
        <v>0</v>
      </c>
      <c r="S249" s="250">
        <f t="shared" si="78"/>
        <v>0</v>
      </c>
      <c r="T249" s="250">
        <f t="shared" si="78"/>
        <v>0</v>
      </c>
      <c r="U249" s="250">
        <f t="shared" si="78"/>
        <v>0</v>
      </c>
    </row>
    <row r="250" spans="1:21" ht="15.75">
      <c r="A250" s="698"/>
      <c r="B250" s="698"/>
      <c r="C250" s="698"/>
      <c r="D250" s="698"/>
      <c r="E250" s="700" t="s">
        <v>198</v>
      </c>
      <c r="F250" s="706" t="s">
        <v>243</v>
      </c>
      <c r="G250" s="697">
        <v>188714469</v>
      </c>
      <c r="H250" s="216" t="s">
        <v>145</v>
      </c>
      <c r="I250" s="254"/>
      <c r="J250" s="255"/>
      <c r="K250" s="254"/>
      <c r="L250" s="253"/>
      <c r="M250" s="253"/>
      <c r="N250" s="255"/>
      <c r="O250" s="635">
        <v>0</v>
      </c>
      <c r="P250" s="254"/>
      <c r="Q250" s="253"/>
      <c r="R250" s="253"/>
      <c r="S250" s="254"/>
      <c r="T250" s="253"/>
      <c r="U250" s="253"/>
    </row>
    <row r="251" spans="1:21" ht="15.75">
      <c r="A251" s="698"/>
      <c r="B251" s="698"/>
      <c r="C251" s="698"/>
      <c r="D251" s="698"/>
      <c r="E251" s="698"/>
      <c r="F251" s="698"/>
      <c r="G251" s="698"/>
      <c r="H251" s="216" t="s">
        <v>146</v>
      </c>
      <c r="I251" s="254"/>
      <c r="J251" s="255"/>
      <c r="K251" s="254"/>
      <c r="L251" s="253"/>
      <c r="M251" s="253"/>
      <c r="N251" s="255"/>
      <c r="O251" s="635">
        <v>0</v>
      </c>
      <c r="P251" s="254"/>
      <c r="Q251" s="253"/>
      <c r="R251" s="253"/>
      <c r="S251" s="254"/>
      <c r="T251" s="253"/>
      <c r="U251" s="253"/>
    </row>
    <row r="252" spans="1:21" ht="15.75">
      <c r="A252" s="698"/>
      <c r="B252" s="698"/>
      <c r="C252" s="698"/>
      <c r="D252" s="698"/>
      <c r="E252" s="698"/>
      <c r="F252" s="698"/>
      <c r="G252" s="698"/>
      <c r="H252" s="216" t="s">
        <v>147</v>
      </c>
      <c r="I252" s="254"/>
      <c r="J252" s="255"/>
      <c r="K252" s="254"/>
      <c r="L252" s="253"/>
      <c r="M252" s="253"/>
      <c r="N252" s="255"/>
      <c r="O252" s="635">
        <v>0</v>
      </c>
      <c r="P252" s="254"/>
      <c r="Q252" s="253"/>
      <c r="R252" s="253"/>
      <c r="S252" s="254"/>
      <c r="T252" s="253"/>
      <c r="U252" s="253"/>
    </row>
    <row r="253" spans="1:21" ht="15.75">
      <c r="A253" s="698"/>
      <c r="B253" s="698"/>
      <c r="C253" s="698"/>
      <c r="D253" s="698"/>
      <c r="E253" s="698"/>
      <c r="F253" s="698"/>
      <c r="G253" s="698"/>
      <c r="H253" s="216" t="s">
        <v>148</v>
      </c>
      <c r="I253" s="254"/>
      <c r="J253" s="255"/>
      <c r="K253" s="254"/>
      <c r="L253" s="253"/>
      <c r="M253" s="253"/>
      <c r="N253" s="255"/>
      <c r="O253" s="635">
        <v>0</v>
      </c>
      <c r="P253" s="254"/>
      <c r="Q253" s="253"/>
      <c r="R253" s="253"/>
      <c r="S253" s="254"/>
      <c r="T253" s="253"/>
      <c r="U253" s="253"/>
    </row>
    <row r="254" spans="1:21" ht="15.75">
      <c r="A254" s="698"/>
      <c r="B254" s="698"/>
      <c r="C254" s="698"/>
      <c r="D254" s="698"/>
      <c r="E254" s="698"/>
      <c r="F254" s="698"/>
      <c r="G254" s="698"/>
      <c r="H254" s="216" t="s">
        <v>5</v>
      </c>
      <c r="I254" s="254"/>
      <c r="J254" s="255"/>
      <c r="K254" s="254"/>
      <c r="L254" s="253"/>
      <c r="M254" s="253"/>
      <c r="N254" s="255"/>
      <c r="O254" s="635">
        <v>0</v>
      </c>
      <c r="P254" s="254"/>
      <c r="Q254" s="253"/>
      <c r="R254" s="253"/>
      <c r="S254" s="254"/>
      <c r="T254" s="253"/>
      <c r="U254" s="253"/>
    </row>
    <row r="255" spans="1:21" ht="15.75">
      <c r="A255" s="698"/>
      <c r="B255" s="698"/>
      <c r="C255" s="698"/>
      <c r="D255" s="698"/>
      <c r="E255" s="698"/>
      <c r="F255" s="699"/>
      <c r="G255" s="699"/>
      <c r="H255" s="216" t="s">
        <v>149</v>
      </c>
      <c r="I255" s="254">
        <v>2.0270000000000001</v>
      </c>
      <c r="J255" s="261">
        <v>1.998</v>
      </c>
      <c r="K255" s="254">
        <v>150</v>
      </c>
      <c r="L255" s="253"/>
      <c r="M255" s="253"/>
      <c r="N255" s="255">
        <v>10.5</v>
      </c>
      <c r="O255" s="635">
        <v>152.02699999999999</v>
      </c>
      <c r="P255" s="254">
        <v>160</v>
      </c>
      <c r="Q255" s="253"/>
      <c r="R255" s="253"/>
      <c r="S255" s="254">
        <v>21.1</v>
      </c>
      <c r="T255" s="253"/>
      <c r="U255" s="253"/>
    </row>
    <row r="256" spans="1:21" ht="31.5">
      <c r="A256" s="698"/>
      <c r="B256" s="698"/>
      <c r="C256" s="698"/>
      <c r="D256" s="698"/>
      <c r="E256" s="699"/>
      <c r="F256" s="260" t="s">
        <v>244</v>
      </c>
      <c r="G256" s="259"/>
      <c r="H256" s="216" t="s">
        <v>8</v>
      </c>
      <c r="I256" s="250">
        <f t="shared" ref="I256:U256" si="79">SUM(I250:I255)</f>
        <v>2.0270000000000001</v>
      </c>
      <c r="J256" s="250">
        <f t="shared" si="79"/>
        <v>1.998</v>
      </c>
      <c r="K256" s="250">
        <f t="shared" si="79"/>
        <v>150</v>
      </c>
      <c r="L256" s="250">
        <f t="shared" si="79"/>
        <v>0</v>
      </c>
      <c r="M256" s="250">
        <f t="shared" si="79"/>
        <v>0</v>
      </c>
      <c r="N256" s="250">
        <f t="shared" si="79"/>
        <v>10.5</v>
      </c>
      <c r="O256" s="636">
        <f t="shared" si="79"/>
        <v>152.02699999999999</v>
      </c>
      <c r="P256" s="250">
        <f t="shared" si="79"/>
        <v>160</v>
      </c>
      <c r="Q256" s="250">
        <f t="shared" si="79"/>
        <v>0</v>
      </c>
      <c r="R256" s="250">
        <f t="shared" si="79"/>
        <v>0</v>
      </c>
      <c r="S256" s="250">
        <f t="shared" si="79"/>
        <v>21.1</v>
      </c>
      <c r="T256" s="250">
        <f t="shared" si="79"/>
        <v>0</v>
      </c>
      <c r="U256" s="250">
        <f t="shared" si="79"/>
        <v>0</v>
      </c>
    </row>
    <row r="257" spans="1:21" ht="15.75">
      <c r="A257" s="698"/>
      <c r="B257" s="698"/>
      <c r="C257" s="698"/>
      <c r="D257" s="698"/>
      <c r="E257" s="700" t="s">
        <v>201</v>
      </c>
      <c r="F257" s="706" t="s">
        <v>245</v>
      </c>
      <c r="G257" s="697">
        <v>188714469</v>
      </c>
      <c r="H257" s="216" t="s">
        <v>145</v>
      </c>
      <c r="I257" s="254"/>
      <c r="J257" s="255"/>
      <c r="K257" s="254"/>
      <c r="L257" s="253"/>
      <c r="M257" s="253"/>
      <c r="N257" s="255"/>
      <c r="O257" s="635">
        <v>0</v>
      </c>
      <c r="P257" s="254"/>
      <c r="Q257" s="253"/>
      <c r="R257" s="253"/>
      <c r="S257" s="254"/>
      <c r="T257" s="253"/>
      <c r="U257" s="253"/>
    </row>
    <row r="258" spans="1:21" ht="15.75">
      <c r="A258" s="698"/>
      <c r="B258" s="698"/>
      <c r="C258" s="698"/>
      <c r="D258" s="698"/>
      <c r="E258" s="698"/>
      <c r="F258" s="698"/>
      <c r="G258" s="698"/>
      <c r="H258" s="216" t="s">
        <v>146</v>
      </c>
      <c r="I258" s="254"/>
      <c r="J258" s="255"/>
      <c r="K258" s="254"/>
      <c r="L258" s="253"/>
      <c r="M258" s="253"/>
      <c r="N258" s="255"/>
      <c r="O258" s="635">
        <v>0</v>
      </c>
      <c r="P258" s="254"/>
      <c r="Q258" s="253"/>
      <c r="R258" s="253"/>
      <c r="S258" s="254"/>
      <c r="T258" s="253"/>
      <c r="U258" s="253"/>
    </row>
    <row r="259" spans="1:21" ht="15.75">
      <c r="A259" s="698"/>
      <c r="B259" s="698"/>
      <c r="C259" s="698"/>
      <c r="D259" s="698"/>
      <c r="E259" s="698"/>
      <c r="F259" s="698"/>
      <c r="G259" s="698"/>
      <c r="H259" s="216" t="s">
        <v>147</v>
      </c>
      <c r="I259" s="254"/>
      <c r="J259" s="255"/>
      <c r="K259" s="254"/>
      <c r="L259" s="253"/>
      <c r="M259" s="253"/>
      <c r="N259" s="255"/>
      <c r="O259" s="635">
        <v>0</v>
      </c>
      <c r="P259" s="254"/>
      <c r="Q259" s="253"/>
      <c r="R259" s="253"/>
      <c r="S259" s="254"/>
      <c r="T259" s="253"/>
      <c r="U259" s="253"/>
    </row>
    <row r="260" spans="1:21" ht="15.75">
      <c r="A260" s="698"/>
      <c r="B260" s="698"/>
      <c r="C260" s="698"/>
      <c r="D260" s="698"/>
      <c r="E260" s="698"/>
      <c r="F260" s="698"/>
      <c r="G260" s="698"/>
      <c r="H260" s="216" t="s">
        <v>148</v>
      </c>
      <c r="I260" s="254"/>
      <c r="J260" s="255"/>
      <c r="K260" s="254"/>
      <c r="L260" s="253"/>
      <c r="M260" s="253"/>
      <c r="N260" s="255"/>
      <c r="O260" s="635">
        <v>0</v>
      </c>
      <c r="P260" s="254"/>
      <c r="Q260" s="253"/>
      <c r="R260" s="253"/>
      <c r="S260" s="254"/>
      <c r="T260" s="253"/>
      <c r="U260" s="253"/>
    </row>
    <row r="261" spans="1:21" ht="15.75">
      <c r="A261" s="698"/>
      <c r="B261" s="698"/>
      <c r="C261" s="698"/>
      <c r="D261" s="698"/>
      <c r="E261" s="698"/>
      <c r="F261" s="698"/>
      <c r="G261" s="698"/>
      <c r="H261" s="216" t="s">
        <v>5</v>
      </c>
      <c r="I261" s="254"/>
      <c r="J261" s="255"/>
      <c r="K261" s="254"/>
      <c r="L261" s="253"/>
      <c r="M261" s="253"/>
      <c r="N261" s="255"/>
      <c r="O261" s="635">
        <v>0</v>
      </c>
      <c r="P261" s="254"/>
      <c r="Q261" s="253"/>
      <c r="R261" s="253"/>
      <c r="S261" s="254"/>
      <c r="T261" s="253"/>
      <c r="U261" s="253"/>
    </row>
    <row r="262" spans="1:21" ht="15.75">
      <c r="A262" s="698"/>
      <c r="B262" s="698"/>
      <c r="C262" s="698"/>
      <c r="D262" s="698"/>
      <c r="E262" s="698"/>
      <c r="F262" s="699"/>
      <c r="G262" s="699"/>
      <c r="H262" s="216" t="s">
        <v>149</v>
      </c>
      <c r="I262" s="254">
        <v>16.599</v>
      </c>
      <c r="J262" s="255">
        <f>13.613+2.402</f>
        <v>16.015000000000001</v>
      </c>
      <c r="K262" s="254">
        <v>327.2</v>
      </c>
      <c r="L262" s="253"/>
      <c r="M262" s="253"/>
      <c r="N262" s="255">
        <v>23</v>
      </c>
      <c r="O262" s="635">
        <v>343.79899999999998</v>
      </c>
      <c r="P262" s="254"/>
      <c r="Q262" s="253"/>
      <c r="R262" s="253"/>
      <c r="S262" s="254"/>
      <c r="T262" s="253"/>
      <c r="U262" s="253"/>
    </row>
    <row r="263" spans="1:21" ht="31.5">
      <c r="A263" s="698"/>
      <c r="B263" s="698"/>
      <c r="C263" s="698"/>
      <c r="D263" s="698"/>
      <c r="E263" s="699"/>
      <c r="F263" s="260" t="s">
        <v>246</v>
      </c>
      <c r="G263" s="259"/>
      <c r="H263" s="216" t="s">
        <v>8</v>
      </c>
      <c r="I263" s="250">
        <f t="shared" ref="I263:U263" si="80">SUM(I257:I262)</f>
        <v>16.599</v>
      </c>
      <c r="J263" s="250">
        <f t="shared" si="80"/>
        <v>16.015000000000001</v>
      </c>
      <c r="K263" s="250">
        <f t="shared" si="80"/>
        <v>327.2</v>
      </c>
      <c r="L263" s="250">
        <f t="shared" si="80"/>
        <v>0</v>
      </c>
      <c r="M263" s="250">
        <f t="shared" si="80"/>
        <v>0</v>
      </c>
      <c r="N263" s="250">
        <f t="shared" si="80"/>
        <v>23</v>
      </c>
      <c r="O263" s="636">
        <f t="shared" si="80"/>
        <v>343.79899999999998</v>
      </c>
      <c r="P263" s="250">
        <f t="shared" si="80"/>
        <v>0</v>
      </c>
      <c r="Q263" s="250">
        <f t="shared" si="80"/>
        <v>0</v>
      </c>
      <c r="R263" s="250">
        <f t="shared" si="80"/>
        <v>0</v>
      </c>
      <c r="S263" s="250">
        <f t="shared" si="80"/>
        <v>0</v>
      </c>
      <c r="T263" s="250">
        <f t="shared" si="80"/>
        <v>0</v>
      </c>
      <c r="U263" s="250">
        <f t="shared" si="80"/>
        <v>0</v>
      </c>
    </row>
    <row r="264" spans="1:21" ht="15.75">
      <c r="A264" s="698"/>
      <c r="B264" s="698"/>
      <c r="C264" s="698"/>
      <c r="D264" s="698"/>
      <c r="E264" s="700" t="s">
        <v>204</v>
      </c>
      <c r="F264" s="706" t="s">
        <v>247</v>
      </c>
      <c r="G264" s="697">
        <v>188714469</v>
      </c>
      <c r="H264" s="216" t="s">
        <v>145</v>
      </c>
      <c r="I264" s="254"/>
      <c r="J264" s="255"/>
      <c r="K264" s="254"/>
      <c r="L264" s="253"/>
      <c r="M264" s="253"/>
      <c r="N264" s="255"/>
      <c r="O264" s="635">
        <v>0</v>
      </c>
      <c r="P264" s="254"/>
      <c r="Q264" s="253"/>
      <c r="R264" s="253"/>
      <c r="S264" s="254"/>
      <c r="T264" s="253"/>
      <c r="U264" s="253"/>
    </row>
    <row r="265" spans="1:21" ht="15.75">
      <c r="A265" s="698"/>
      <c r="B265" s="698"/>
      <c r="C265" s="698"/>
      <c r="D265" s="698"/>
      <c r="E265" s="698"/>
      <c r="F265" s="698"/>
      <c r="G265" s="698"/>
      <c r="H265" s="216" t="s">
        <v>146</v>
      </c>
      <c r="I265" s="254"/>
      <c r="J265" s="255"/>
      <c r="K265" s="254"/>
      <c r="L265" s="253"/>
      <c r="M265" s="253"/>
      <c r="N265" s="255"/>
      <c r="O265" s="635">
        <v>0</v>
      </c>
      <c r="P265" s="254"/>
      <c r="Q265" s="253"/>
      <c r="R265" s="253"/>
      <c r="S265" s="254"/>
      <c r="T265" s="253"/>
      <c r="U265" s="253"/>
    </row>
    <row r="266" spans="1:21" ht="15.75">
      <c r="A266" s="698"/>
      <c r="B266" s="698"/>
      <c r="C266" s="698"/>
      <c r="D266" s="698"/>
      <c r="E266" s="698"/>
      <c r="F266" s="698"/>
      <c r="G266" s="698"/>
      <c r="H266" s="216" t="s">
        <v>147</v>
      </c>
      <c r="I266" s="254"/>
      <c r="J266" s="255"/>
      <c r="K266" s="254"/>
      <c r="L266" s="253"/>
      <c r="M266" s="253"/>
      <c r="N266" s="255"/>
      <c r="O266" s="635">
        <v>0</v>
      </c>
      <c r="P266" s="254"/>
      <c r="Q266" s="253"/>
      <c r="R266" s="253"/>
      <c r="S266" s="254"/>
      <c r="T266" s="253"/>
      <c r="U266" s="253"/>
    </row>
    <row r="267" spans="1:21" ht="15.75">
      <c r="A267" s="698"/>
      <c r="B267" s="698"/>
      <c r="C267" s="698"/>
      <c r="D267" s="698"/>
      <c r="E267" s="698"/>
      <c r="F267" s="698"/>
      <c r="G267" s="698"/>
      <c r="H267" s="216" t="s">
        <v>148</v>
      </c>
      <c r="I267" s="254"/>
      <c r="J267" s="255"/>
      <c r="K267" s="254"/>
      <c r="L267" s="253"/>
      <c r="M267" s="253"/>
      <c r="N267" s="255"/>
      <c r="O267" s="635">
        <v>0</v>
      </c>
      <c r="P267" s="254"/>
      <c r="Q267" s="253"/>
      <c r="R267" s="253"/>
      <c r="S267" s="254"/>
      <c r="T267" s="253"/>
      <c r="U267" s="253"/>
    </row>
    <row r="268" spans="1:21" ht="15.75">
      <c r="A268" s="698"/>
      <c r="B268" s="698"/>
      <c r="C268" s="698"/>
      <c r="D268" s="698"/>
      <c r="E268" s="698"/>
      <c r="F268" s="698"/>
      <c r="G268" s="698"/>
      <c r="H268" s="216" t="s">
        <v>5</v>
      </c>
      <c r="I268" s="254"/>
      <c r="J268" s="255"/>
      <c r="K268" s="254"/>
      <c r="L268" s="253"/>
      <c r="M268" s="253"/>
      <c r="N268" s="255"/>
      <c r="O268" s="635">
        <v>0</v>
      </c>
      <c r="P268" s="254"/>
      <c r="Q268" s="253"/>
      <c r="R268" s="253"/>
      <c r="S268" s="254"/>
      <c r="T268" s="253"/>
      <c r="U268" s="253"/>
    </row>
    <row r="269" spans="1:21" ht="15.75">
      <c r="A269" s="698"/>
      <c r="B269" s="698"/>
      <c r="C269" s="698"/>
      <c r="D269" s="698"/>
      <c r="E269" s="698"/>
      <c r="F269" s="699"/>
      <c r="G269" s="699"/>
      <c r="H269" s="216" t="s">
        <v>149</v>
      </c>
      <c r="I269" s="254">
        <v>0.13100000000000001</v>
      </c>
      <c r="J269" s="255">
        <v>0.13100000000000001</v>
      </c>
      <c r="K269" s="254">
        <v>100</v>
      </c>
      <c r="L269" s="253"/>
      <c r="M269" s="253"/>
      <c r="N269" s="255">
        <v>7</v>
      </c>
      <c r="O269" s="635">
        <v>100.131</v>
      </c>
      <c r="P269" s="254">
        <v>86.7</v>
      </c>
      <c r="Q269" s="253"/>
      <c r="R269" s="253"/>
      <c r="S269" s="254">
        <v>20</v>
      </c>
      <c r="T269" s="253"/>
      <c r="U269" s="253"/>
    </row>
    <row r="270" spans="1:21" ht="31.5">
      <c r="A270" s="698"/>
      <c r="B270" s="698"/>
      <c r="C270" s="698"/>
      <c r="D270" s="698"/>
      <c r="E270" s="699"/>
      <c r="F270" s="260" t="s">
        <v>248</v>
      </c>
      <c r="G270" s="259"/>
      <c r="H270" s="216" t="s">
        <v>8</v>
      </c>
      <c r="I270" s="250">
        <f t="shared" ref="I270:U270" si="81">SUM(I264:I269)</f>
        <v>0.13100000000000001</v>
      </c>
      <c r="J270" s="250">
        <f t="shared" si="81"/>
        <v>0.13100000000000001</v>
      </c>
      <c r="K270" s="250">
        <f t="shared" si="81"/>
        <v>100</v>
      </c>
      <c r="L270" s="250">
        <f t="shared" si="81"/>
        <v>0</v>
      </c>
      <c r="M270" s="250">
        <f t="shared" si="81"/>
        <v>0</v>
      </c>
      <c r="N270" s="250">
        <f t="shared" si="81"/>
        <v>7</v>
      </c>
      <c r="O270" s="636">
        <f t="shared" si="81"/>
        <v>100.131</v>
      </c>
      <c r="P270" s="250">
        <f t="shared" si="81"/>
        <v>86.7</v>
      </c>
      <c r="Q270" s="250">
        <f t="shared" si="81"/>
        <v>0</v>
      </c>
      <c r="R270" s="250">
        <f t="shared" si="81"/>
        <v>0</v>
      </c>
      <c r="S270" s="250">
        <f t="shared" si="81"/>
        <v>20</v>
      </c>
      <c r="T270" s="250">
        <f t="shared" si="81"/>
        <v>0</v>
      </c>
      <c r="U270" s="250">
        <f t="shared" si="81"/>
        <v>0</v>
      </c>
    </row>
    <row r="271" spans="1:21" ht="15.75" customHeight="1">
      <c r="A271" s="698"/>
      <c r="B271" s="698"/>
      <c r="C271" s="698"/>
      <c r="D271" s="698"/>
      <c r="E271" s="700" t="s">
        <v>207</v>
      </c>
      <c r="F271" s="706" t="s">
        <v>249</v>
      </c>
      <c r="G271" s="703" t="s">
        <v>218</v>
      </c>
      <c r="H271" s="216" t="s">
        <v>145</v>
      </c>
      <c r="I271" s="254"/>
      <c r="J271" s="255"/>
      <c r="K271" s="254"/>
      <c r="L271" s="253"/>
      <c r="M271" s="253"/>
      <c r="N271" s="255"/>
      <c r="O271" s="635">
        <v>0</v>
      </c>
      <c r="P271" s="254"/>
      <c r="Q271" s="253"/>
      <c r="R271" s="253"/>
      <c r="S271" s="254"/>
      <c r="T271" s="253"/>
      <c r="U271" s="253"/>
    </row>
    <row r="272" spans="1:21" ht="15.75">
      <c r="A272" s="698"/>
      <c r="B272" s="698"/>
      <c r="C272" s="698"/>
      <c r="D272" s="698"/>
      <c r="E272" s="698"/>
      <c r="F272" s="698"/>
      <c r="G272" s="704"/>
      <c r="H272" s="216" t="s">
        <v>146</v>
      </c>
      <c r="I272" s="254"/>
      <c r="J272" s="255"/>
      <c r="K272" s="254"/>
      <c r="L272" s="253"/>
      <c r="M272" s="253"/>
      <c r="N272" s="255"/>
      <c r="O272" s="635">
        <v>0</v>
      </c>
      <c r="P272" s="254"/>
      <c r="Q272" s="253"/>
      <c r="R272" s="253"/>
      <c r="S272" s="254"/>
      <c r="T272" s="253"/>
      <c r="U272" s="253"/>
    </row>
    <row r="273" spans="1:21" ht="15.75">
      <c r="A273" s="698"/>
      <c r="B273" s="698"/>
      <c r="C273" s="698"/>
      <c r="D273" s="698"/>
      <c r="E273" s="698"/>
      <c r="F273" s="698"/>
      <c r="G273" s="704"/>
      <c r="H273" s="216" t="s">
        <v>147</v>
      </c>
      <c r="I273" s="254"/>
      <c r="J273" s="255"/>
      <c r="K273" s="254"/>
      <c r="L273" s="253"/>
      <c r="M273" s="253"/>
      <c r="N273" s="255"/>
      <c r="O273" s="635">
        <v>0</v>
      </c>
      <c r="P273" s="254"/>
      <c r="Q273" s="253"/>
      <c r="R273" s="253"/>
      <c r="S273" s="254"/>
      <c r="T273" s="253"/>
      <c r="U273" s="253"/>
    </row>
    <row r="274" spans="1:21" ht="15.75">
      <c r="A274" s="698"/>
      <c r="B274" s="698"/>
      <c r="C274" s="698"/>
      <c r="D274" s="698"/>
      <c r="E274" s="698"/>
      <c r="F274" s="698"/>
      <c r="G274" s="704"/>
      <c r="H274" s="216" t="s">
        <v>148</v>
      </c>
      <c r="I274" s="254"/>
      <c r="J274" s="255"/>
      <c r="K274" s="254"/>
      <c r="L274" s="253"/>
      <c r="M274" s="253"/>
      <c r="N274" s="255"/>
      <c r="O274" s="635">
        <v>0</v>
      </c>
      <c r="P274" s="254"/>
      <c r="Q274" s="253"/>
      <c r="R274" s="253"/>
      <c r="S274" s="254"/>
      <c r="T274" s="253"/>
      <c r="U274" s="253"/>
    </row>
    <row r="275" spans="1:21" ht="15.75">
      <c r="A275" s="698"/>
      <c r="B275" s="698"/>
      <c r="C275" s="698"/>
      <c r="D275" s="698"/>
      <c r="E275" s="698"/>
      <c r="F275" s="698"/>
      <c r="G275" s="704"/>
      <c r="H275" s="216" t="s">
        <v>5</v>
      </c>
      <c r="I275" s="254"/>
      <c r="J275" s="255"/>
      <c r="K275" s="254"/>
      <c r="L275" s="253"/>
      <c r="M275" s="253"/>
      <c r="N275" s="255"/>
      <c r="O275" s="635">
        <v>0</v>
      </c>
      <c r="P275" s="254"/>
      <c r="Q275" s="253"/>
      <c r="R275" s="253"/>
      <c r="S275" s="254"/>
      <c r="T275" s="253"/>
      <c r="U275" s="253"/>
    </row>
    <row r="276" spans="1:21" ht="15.75">
      <c r="A276" s="698"/>
      <c r="B276" s="698"/>
      <c r="C276" s="698"/>
      <c r="D276" s="698"/>
      <c r="E276" s="698"/>
      <c r="F276" s="699"/>
      <c r="G276" s="705"/>
      <c r="H276" s="216" t="s">
        <v>149</v>
      </c>
      <c r="I276" s="254">
        <v>66.334999999999994</v>
      </c>
      <c r="J276" s="255">
        <v>15.808999999999999</v>
      </c>
      <c r="K276" s="254">
        <v>250</v>
      </c>
      <c r="L276" s="253"/>
      <c r="M276" s="253"/>
      <c r="N276" s="255">
        <v>6</v>
      </c>
      <c r="O276" s="635">
        <v>316.33499999999998</v>
      </c>
      <c r="P276" s="254"/>
      <c r="Q276" s="253"/>
      <c r="R276" s="253"/>
      <c r="S276" s="254"/>
      <c r="T276" s="253"/>
      <c r="U276" s="253"/>
    </row>
    <row r="277" spans="1:21" ht="31.5">
      <c r="A277" s="698"/>
      <c r="B277" s="698"/>
      <c r="C277" s="698"/>
      <c r="D277" s="698"/>
      <c r="E277" s="699"/>
      <c r="F277" s="260" t="s">
        <v>250</v>
      </c>
      <c r="G277" s="259"/>
      <c r="H277" s="216" t="s">
        <v>8</v>
      </c>
      <c r="I277" s="250">
        <f t="shared" ref="I277:U277" si="82">SUM(I271:I276)</f>
        <v>66.334999999999994</v>
      </c>
      <c r="J277" s="250">
        <f t="shared" si="82"/>
        <v>15.808999999999999</v>
      </c>
      <c r="K277" s="250">
        <f t="shared" si="82"/>
        <v>250</v>
      </c>
      <c r="L277" s="250">
        <f t="shared" si="82"/>
        <v>0</v>
      </c>
      <c r="M277" s="250">
        <f t="shared" si="82"/>
        <v>0</v>
      </c>
      <c r="N277" s="250">
        <f t="shared" si="82"/>
        <v>6</v>
      </c>
      <c r="O277" s="636">
        <f t="shared" si="82"/>
        <v>316.33499999999998</v>
      </c>
      <c r="P277" s="250">
        <f t="shared" si="82"/>
        <v>0</v>
      </c>
      <c r="Q277" s="250">
        <f t="shared" si="82"/>
        <v>0</v>
      </c>
      <c r="R277" s="250">
        <f t="shared" si="82"/>
        <v>0</v>
      </c>
      <c r="S277" s="250">
        <f t="shared" si="82"/>
        <v>0</v>
      </c>
      <c r="T277" s="250">
        <f t="shared" si="82"/>
        <v>0</v>
      </c>
      <c r="U277" s="250">
        <f t="shared" si="82"/>
        <v>0</v>
      </c>
    </row>
    <row r="278" spans="1:21" ht="15.75">
      <c r="A278" s="698"/>
      <c r="B278" s="698"/>
      <c r="C278" s="698"/>
      <c r="D278" s="698"/>
      <c r="E278" s="700" t="s">
        <v>210</v>
      </c>
      <c r="F278" s="702" t="s">
        <v>251</v>
      </c>
      <c r="G278" s="697">
        <v>188714469</v>
      </c>
      <c r="H278" s="216" t="s">
        <v>145</v>
      </c>
      <c r="I278" s="254"/>
      <c r="J278" s="255"/>
      <c r="K278" s="254"/>
      <c r="L278" s="253"/>
      <c r="M278" s="253"/>
      <c r="N278" s="255"/>
      <c r="O278" s="635">
        <v>0</v>
      </c>
      <c r="P278" s="254"/>
      <c r="Q278" s="253"/>
      <c r="R278" s="253"/>
      <c r="S278" s="254"/>
      <c r="T278" s="253"/>
      <c r="U278" s="253"/>
    </row>
    <row r="279" spans="1:21" ht="15.75">
      <c r="A279" s="698"/>
      <c r="B279" s="698"/>
      <c r="C279" s="698"/>
      <c r="D279" s="698"/>
      <c r="E279" s="698"/>
      <c r="F279" s="698"/>
      <c r="G279" s="698"/>
      <c r="H279" s="216" t="s">
        <v>146</v>
      </c>
      <c r="I279" s="254"/>
      <c r="J279" s="255"/>
      <c r="K279" s="254"/>
      <c r="L279" s="253"/>
      <c r="M279" s="253"/>
      <c r="N279" s="255"/>
      <c r="O279" s="635">
        <v>0</v>
      </c>
      <c r="P279" s="254"/>
      <c r="Q279" s="253"/>
      <c r="R279" s="253"/>
      <c r="S279" s="254"/>
      <c r="T279" s="253"/>
      <c r="U279" s="253"/>
    </row>
    <row r="280" spans="1:21" ht="15.75">
      <c r="A280" s="698"/>
      <c r="B280" s="698"/>
      <c r="C280" s="698"/>
      <c r="D280" s="698"/>
      <c r="E280" s="698"/>
      <c r="F280" s="698"/>
      <c r="G280" s="698"/>
      <c r="H280" s="216" t="s">
        <v>147</v>
      </c>
      <c r="I280" s="254"/>
      <c r="J280" s="255"/>
      <c r="K280" s="254"/>
      <c r="L280" s="253"/>
      <c r="M280" s="253"/>
      <c r="N280" s="255"/>
      <c r="O280" s="635">
        <v>0</v>
      </c>
      <c r="P280" s="254"/>
      <c r="Q280" s="253"/>
      <c r="R280" s="253"/>
      <c r="S280" s="254"/>
      <c r="T280" s="253"/>
      <c r="U280" s="253"/>
    </row>
    <row r="281" spans="1:21" ht="15.75">
      <c r="A281" s="698"/>
      <c r="B281" s="698"/>
      <c r="C281" s="698"/>
      <c r="D281" s="698"/>
      <c r="E281" s="698"/>
      <c r="F281" s="698"/>
      <c r="G281" s="698"/>
      <c r="H281" s="216" t="s">
        <v>148</v>
      </c>
      <c r="I281" s="254"/>
      <c r="J281" s="255"/>
      <c r="K281" s="254"/>
      <c r="L281" s="253"/>
      <c r="M281" s="253"/>
      <c r="N281" s="255"/>
      <c r="O281" s="635">
        <v>0</v>
      </c>
      <c r="P281" s="254"/>
      <c r="Q281" s="253"/>
      <c r="R281" s="253"/>
      <c r="S281" s="254"/>
      <c r="T281" s="253"/>
      <c r="U281" s="253"/>
    </row>
    <row r="282" spans="1:21" ht="15.75">
      <c r="A282" s="698"/>
      <c r="B282" s="698"/>
      <c r="C282" s="698"/>
      <c r="D282" s="698"/>
      <c r="E282" s="698"/>
      <c r="F282" s="698"/>
      <c r="G282" s="698"/>
      <c r="H282" s="216" t="s">
        <v>5</v>
      </c>
      <c r="I282" s="254"/>
      <c r="J282" s="255"/>
      <c r="K282" s="254"/>
      <c r="L282" s="253"/>
      <c r="M282" s="253"/>
      <c r="N282" s="255"/>
      <c r="O282" s="635">
        <v>0</v>
      </c>
      <c r="P282" s="254"/>
      <c r="Q282" s="253"/>
      <c r="R282" s="253"/>
      <c r="S282" s="254"/>
      <c r="T282" s="253"/>
      <c r="U282" s="253"/>
    </row>
    <row r="283" spans="1:21" ht="15.75">
      <c r="A283" s="698"/>
      <c r="B283" s="698"/>
      <c r="C283" s="698"/>
      <c r="D283" s="698"/>
      <c r="E283" s="698"/>
      <c r="F283" s="699"/>
      <c r="G283" s="699"/>
      <c r="H283" s="216" t="s">
        <v>149</v>
      </c>
      <c r="I283" s="254">
        <v>135.97399999999999</v>
      </c>
      <c r="J283" s="255">
        <f>3.067</f>
        <v>3.0670000000000002</v>
      </c>
      <c r="K283" s="254">
        <v>300</v>
      </c>
      <c r="L283" s="253"/>
      <c r="M283" s="253"/>
      <c r="N283" s="255">
        <v>5.8</v>
      </c>
      <c r="O283" s="635">
        <v>435.97399999999999</v>
      </c>
      <c r="P283" s="254">
        <v>300</v>
      </c>
      <c r="Q283" s="253"/>
      <c r="R283" s="253"/>
      <c r="S283" s="254"/>
      <c r="T283" s="253"/>
      <c r="U283" s="253"/>
    </row>
    <row r="284" spans="1:21" ht="31.5">
      <c r="A284" s="698"/>
      <c r="B284" s="698"/>
      <c r="C284" s="698"/>
      <c r="D284" s="698"/>
      <c r="E284" s="699"/>
      <c r="F284" s="252" t="s">
        <v>252</v>
      </c>
      <c r="G284" s="251"/>
      <c r="H284" s="216" t="s">
        <v>8</v>
      </c>
      <c r="I284" s="250">
        <f t="shared" ref="I284:U284" si="83">SUM(I278:I283)</f>
        <v>135.97399999999999</v>
      </c>
      <c r="J284" s="250">
        <f t="shared" si="83"/>
        <v>3.0670000000000002</v>
      </c>
      <c r="K284" s="250">
        <f t="shared" si="83"/>
        <v>300</v>
      </c>
      <c r="L284" s="250">
        <f t="shared" si="83"/>
        <v>0</v>
      </c>
      <c r="M284" s="250">
        <f t="shared" si="83"/>
        <v>0</v>
      </c>
      <c r="N284" s="250">
        <f t="shared" si="83"/>
        <v>5.8</v>
      </c>
      <c r="O284" s="636">
        <f t="shared" si="83"/>
        <v>435.97399999999999</v>
      </c>
      <c r="P284" s="250">
        <f t="shared" si="83"/>
        <v>300</v>
      </c>
      <c r="Q284" s="250">
        <f t="shared" si="83"/>
        <v>0</v>
      </c>
      <c r="R284" s="250">
        <f t="shared" si="83"/>
        <v>0</v>
      </c>
      <c r="S284" s="250">
        <f t="shared" si="83"/>
        <v>0</v>
      </c>
      <c r="T284" s="250">
        <f t="shared" si="83"/>
        <v>0</v>
      </c>
      <c r="U284" s="250">
        <f t="shared" si="83"/>
        <v>0</v>
      </c>
    </row>
    <row r="285" spans="1:21" ht="15.75">
      <c r="A285" s="698"/>
      <c r="B285" s="698"/>
      <c r="C285" s="698"/>
      <c r="D285" s="698"/>
      <c r="E285" s="700" t="s">
        <v>213</v>
      </c>
      <c r="F285" s="702" t="s">
        <v>253</v>
      </c>
      <c r="G285" s="697">
        <v>188714469</v>
      </c>
      <c r="H285" s="216" t="s">
        <v>145</v>
      </c>
      <c r="I285" s="254"/>
      <c r="J285" s="255"/>
      <c r="K285" s="258">
        <v>120</v>
      </c>
      <c r="L285" s="253"/>
      <c r="M285" s="253"/>
      <c r="N285" s="255">
        <v>20</v>
      </c>
      <c r="O285" s="635">
        <f t="shared" ref="O285:O290" si="84">I285+K285</f>
        <v>120</v>
      </c>
      <c r="P285" s="254"/>
      <c r="Q285" s="253"/>
      <c r="R285" s="253"/>
      <c r="S285" s="254"/>
      <c r="T285" s="253"/>
      <c r="U285" s="253"/>
    </row>
    <row r="286" spans="1:21" ht="15.75" customHeight="1">
      <c r="A286" s="698"/>
      <c r="B286" s="698"/>
      <c r="C286" s="698"/>
      <c r="D286" s="698"/>
      <c r="E286" s="698"/>
      <c r="F286" s="698"/>
      <c r="G286" s="698"/>
      <c r="H286" s="216" t="s">
        <v>146</v>
      </c>
      <c r="I286" s="254"/>
      <c r="J286" s="255"/>
      <c r="K286" s="258"/>
      <c r="L286" s="253"/>
      <c r="M286" s="253"/>
      <c r="N286" s="255"/>
      <c r="O286" s="635">
        <f t="shared" si="84"/>
        <v>0</v>
      </c>
      <c r="P286" s="254"/>
      <c r="Q286" s="253"/>
      <c r="R286" s="253"/>
      <c r="S286" s="254"/>
      <c r="T286" s="253"/>
      <c r="U286" s="253"/>
    </row>
    <row r="287" spans="1:21" ht="15.75">
      <c r="A287" s="698"/>
      <c r="B287" s="698"/>
      <c r="C287" s="698"/>
      <c r="D287" s="698"/>
      <c r="E287" s="698"/>
      <c r="F287" s="698"/>
      <c r="G287" s="698"/>
      <c r="H287" s="216" t="s">
        <v>147</v>
      </c>
      <c r="I287" s="254"/>
      <c r="J287" s="255"/>
      <c r="K287" s="258"/>
      <c r="L287" s="253"/>
      <c r="M287" s="253"/>
      <c r="N287" s="255"/>
      <c r="O287" s="635">
        <f t="shared" si="84"/>
        <v>0</v>
      </c>
      <c r="P287" s="254"/>
      <c r="Q287" s="253"/>
      <c r="R287" s="253"/>
      <c r="S287" s="254"/>
      <c r="T287" s="253"/>
      <c r="U287" s="253"/>
    </row>
    <row r="288" spans="1:21" ht="15.75">
      <c r="A288" s="698"/>
      <c r="B288" s="698"/>
      <c r="C288" s="698"/>
      <c r="D288" s="698"/>
      <c r="E288" s="698"/>
      <c r="F288" s="698"/>
      <c r="G288" s="698"/>
      <c r="H288" s="216" t="s">
        <v>148</v>
      </c>
      <c r="I288" s="254"/>
      <c r="J288" s="255"/>
      <c r="K288" s="258"/>
      <c r="L288" s="253"/>
      <c r="M288" s="253"/>
      <c r="N288" s="255"/>
      <c r="O288" s="635">
        <f t="shared" si="84"/>
        <v>0</v>
      </c>
      <c r="P288" s="254"/>
      <c r="Q288" s="253"/>
      <c r="R288" s="253"/>
      <c r="S288" s="254"/>
      <c r="T288" s="253"/>
      <c r="U288" s="253"/>
    </row>
    <row r="289" spans="1:21" ht="15.75">
      <c r="A289" s="698"/>
      <c r="B289" s="698"/>
      <c r="C289" s="698"/>
      <c r="D289" s="698"/>
      <c r="E289" s="698"/>
      <c r="F289" s="698"/>
      <c r="G289" s="698"/>
      <c r="H289" s="216" t="s">
        <v>5</v>
      </c>
      <c r="I289" s="254"/>
      <c r="J289" s="255"/>
      <c r="K289" s="258">
        <v>30</v>
      </c>
      <c r="L289" s="253">
        <v>30</v>
      </c>
      <c r="M289" s="253"/>
      <c r="N289" s="255"/>
      <c r="O289" s="635">
        <f t="shared" si="84"/>
        <v>30</v>
      </c>
      <c r="P289" s="254"/>
      <c r="Q289" s="253"/>
      <c r="R289" s="253"/>
      <c r="S289" s="254"/>
      <c r="T289" s="253"/>
      <c r="U289" s="253"/>
    </row>
    <row r="290" spans="1:21" ht="81.75" customHeight="1">
      <c r="A290" s="698"/>
      <c r="B290" s="698"/>
      <c r="C290" s="698"/>
      <c r="D290" s="698"/>
      <c r="E290" s="698"/>
      <c r="F290" s="699"/>
      <c r="G290" s="699"/>
      <c r="H290" s="216" t="s">
        <v>149</v>
      </c>
      <c r="I290" s="254"/>
      <c r="J290" s="255"/>
      <c r="K290" s="254">
        <v>120</v>
      </c>
      <c r="L290" s="253"/>
      <c r="M290" s="253"/>
      <c r="N290" s="255">
        <v>16</v>
      </c>
      <c r="O290" s="635">
        <f t="shared" si="84"/>
        <v>120</v>
      </c>
      <c r="P290" s="254"/>
      <c r="Q290" s="253"/>
      <c r="R290" s="253"/>
      <c r="S290" s="254"/>
      <c r="T290" s="253"/>
      <c r="U290" s="253"/>
    </row>
    <row r="291" spans="1:21" ht="15.75">
      <c r="A291" s="698"/>
      <c r="B291" s="698"/>
      <c r="C291" s="698"/>
      <c r="D291" s="698"/>
      <c r="E291" s="699"/>
      <c r="F291" s="252" t="s">
        <v>254</v>
      </c>
      <c r="G291" s="251"/>
      <c r="H291" s="216" t="s">
        <v>8</v>
      </c>
      <c r="I291" s="250">
        <f t="shared" ref="I291:U291" si="85">SUM(I285:I290)</f>
        <v>0</v>
      </c>
      <c r="J291" s="250">
        <f t="shared" si="85"/>
        <v>0</v>
      </c>
      <c r="K291" s="250">
        <f t="shared" si="85"/>
        <v>270</v>
      </c>
      <c r="L291" s="250">
        <f t="shared" si="85"/>
        <v>30</v>
      </c>
      <c r="M291" s="250">
        <f t="shared" si="85"/>
        <v>0</v>
      </c>
      <c r="N291" s="250">
        <f t="shared" si="85"/>
        <v>36</v>
      </c>
      <c r="O291" s="636">
        <f t="shared" si="85"/>
        <v>270</v>
      </c>
      <c r="P291" s="250">
        <f t="shared" si="85"/>
        <v>0</v>
      </c>
      <c r="Q291" s="250">
        <f t="shared" si="85"/>
        <v>0</v>
      </c>
      <c r="R291" s="250">
        <f t="shared" si="85"/>
        <v>0</v>
      </c>
      <c r="S291" s="250">
        <f t="shared" si="85"/>
        <v>0</v>
      </c>
      <c r="T291" s="250">
        <f t="shared" si="85"/>
        <v>0</v>
      </c>
      <c r="U291" s="250">
        <f t="shared" si="85"/>
        <v>0</v>
      </c>
    </row>
    <row r="292" spans="1:21" ht="15.75">
      <c r="A292" s="698"/>
      <c r="B292" s="698"/>
      <c r="C292" s="698"/>
      <c r="D292" s="698"/>
      <c r="E292" s="700" t="s">
        <v>255</v>
      </c>
      <c r="F292" s="702" t="s">
        <v>256</v>
      </c>
      <c r="G292" s="697">
        <v>188714469</v>
      </c>
      <c r="H292" s="216" t="s">
        <v>145</v>
      </c>
      <c r="I292" s="254"/>
      <c r="J292" s="255"/>
      <c r="K292" s="254"/>
      <c r="L292" s="253"/>
      <c r="M292" s="253"/>
      <c r="N292" s="255"/>
      <c r="O292" s="635">
        <f t="shared" ref="O292:O297" si="86">I292+K292</f>
        <v>0</v>
      </c>
      <c r="P292" s="254"/>
      <c r="Q292" s="253"/>
      <c r="R292" s="253"/>
      <c r="S292" s="254"/>
      <c r="T292" s="253"/>
      <c r="U292" s="253"/>
    </row>
    <row r="293" spans="1:21" ht="15.75" customHeight="1">
      <c r="A293" s="698"/>
      <c r="B293" s="698"/>
      <c r="C293" s="698"/>
      <c r="D293" s="698"/>
      <c r="E293" s="698"/>
      <c r="F293" s="698"/>
      <c r="G293" s="698"/>
      <c r="H293" s="216" t="s">
        <v>146</v>
      </c>
      <c r="I293" s="254"/>
      <c r="J293" s="255"/>
      <c r="K293" s="254"/>
      <c r="L293" s="253"/>
      <c r="M293" s="253"/>
      <c r="N293" s="255"/>
      <c r="O293" s="635">
        <f t="shared" si="86"/>
        <v>0</v>
      </c>
      <c r="P293" s="254"/>
      <c r="Q293" s="253"/>
      <c r="R293" s="253"/>
      <c r="S293" s="254"/>
      <c r="T293" s="253"/>
      <c r="U293" s="253"/>
    </row>
    <row r="294" spans="1:21" ht="15.75">
      <c r="A294" s="698"/>
      <c r="B294" s="698"/>
      <c r="C294" s="698"/>
      <c r="D294" s="698"/>
      <c r="E294" s="698"/>
      <c r="F294" s="698"/>
      <c r="G294" s="698"/>
      <c r="H294" s="216" t="s">
        <v>147</v>
      </c>
      <c r="I294" s="254"/>
      <c r="J294" s="255"/>
      <c r="K294" s="254"/>
      <c r="L294" s="253"/>
      <c r="M294" s="253"/>
      <c r="N294" s="255"/>
      <c r="O294" s="635">
        <f t="shared" si="86"/>
        <v>0</v>
      </c>
      <c r="P294" s="254"/>
      <c r="Q294" s="253"/>
      <c r="R294" s="253"/>
      <c r="S294" s="254"/>
      <c r="T294" s="253"/>
      <c r="U294" s="253"/>
    </row>
    <row r="295" spans="1:21" ht="15.75">
      <c r="A295" s="698"/>
      <c r="B295" s="698"/>
      <c r="C295" s="698"/>
      <c r="D295" s="698"/>
      <c r="E295" s="698"/>
      <c r="F295" s="698"/>
      <c r="G295" s="698"/>
      <c r="H295" s="216" t="s">
        <v>148</v>
      </c>
      <c r="I295" s="254"/>
      <c r="J295" s="255"/>
      <c r="K295" s="254"/>
      <c r="L295" s="253"/>
      <c r="M295" s="253"/>
      <c r="N295" s="255"/>
      <c r="O295" s="635">
        <f t="shared" si="86"/>
        <v>0</v>
      </c>
      <c r="P295" s="254"/>
      <c r="Q295" s="253"/>
      <c r="R295" s="253"/>
      <c r="S295" s="254"/>
      <c r="T295" s="253"/>
      <c r="U295" s="253"/>
    </row>
    <row r="296" spans="1:21" ht="15.75">
      <c r="A296" s="698"/>
      <c r="B296" s="698"/>
      <c r="C296" s="698"/>
      <c r="D296" s="698"/>
      <c r="E296" s="698"/>
      <c r="F296" s="698"/>
      <c r="G296" s="698"/>
      <c r="H296" s="216" t="s">
        <v>5</v>
      </c>
      <c r="I296" s="254"/>
      <c r="J296" s="255"/>
      <c r="K296" s="254"/>
      <c r="L296" s="253"/>
      <c r="M296" s="253"/>
      <c r="N296" s="255"/>
      <c r="O296" s="635">
        <f t="shared" si="86"/>
        <v>0</v>
      </c>
      <c r="P296" s="254"/>
      <c r="Q296" s="253"/>
      <c r="R296" s="253"/>
      <c r="S296" s="254"/>
      <c r="T296" s="253"/>
      <c r="U296" s="253"/>
    </row>
    <row r="297" spans="1:21" ht="15.75">
      <c r="A297" s="698"/>
      <c r="B297" s="698"/>
      <c r="C297" s="698"/>
      <c r="D297" s="698"/>
      <c r="E297" s="698"/>
      <c r="F297" s="699"/>
      <c r="G297" s="699"/>
      <c r="H297" s="216" t="s">
        <v>149</v>
      </c>
      <c r="I297" s="254"/>
      <c r="J297" s="255"/>
      <c r="K297" s="254">
        <v>50</v>
      </c>
      <c r="L297" s="253"/>
      <c r="M297" s="253"/>
      <c r="N297" s="255"/>
      <c r="O297" s="635">
        <f t="shared" si="86"/>
        <v>50</v>
      </c>
      <c r="P297" s="254">
        <v>300</v>
      </c>
      <c r="Q297" s="253"/>
      <c r="R297" s="253"/>
      <c r="S297" s="254">
        <v>400</v>
      </c>
      <c r="T297" s="253"/>
      <c r="U297" s="253"/>
    </row>
    <row r="298" spans="1:21" ht="15.75">
      <c r="A298" s="698"/>
      <c r="B298" s="698"/>
      <c r="C298" s="698"/>
      <c r="D298" s="698"/>
      <c r="E298" s="699"/>
      <c r="F298" s="252" t="s">
        <v>257</v>
      </c>
      <c r="G298" s="251"/>
      <c r="H298" s="216" t="s">
        <v>8</v>
      </c>
      <c r="I298" s="250">
        <f t="shared" ref="I298:U298" si="87">SUM(I292:I297)</f>
        <v>0</v>
      </c>
      <c r="J298" s="250">
        <f t="shared" si="87"/>
        <v>0</v>
      </c>
      <c r="K298" s="250">
        <f t="shared" si="87"/>
        <v>50</v>
      </c>
      <c r="L298" s="250">
        <f t="shared" si="87"/>
        <v>0</v>
      </c>
      <c r="M298" s="250">
        <f t="shared" si="87"/>
        <v>0</v>
      </c>
      <c r="N298" s="250">
        <f t="shared" si="87"/>
        <v>0</v>
      </c>
      <c r="O298" s="636">
        <f t="shared" si="87"/>
        <v>50</v>
      </c>
      <c r="P298" s="250">
        <f t="shared" si="87"/>
        <v>300</v>
      </c>
      <c r="Q298" s="250">
        <f t="shared" si="87"/>
        <v>0</v>
      </c>
      <c r="R298" s="250">
        <f t="shared" si="87"/>
        <v>0</v>
      </c>
      <c r="S298" s="250">
        <f t="shared" si="87"/>
        <v>400</v>
      </c>
      <c r="T298" s="250">
        <f t="shared" si="87"/>
        <v>0</v>
      </c>
      <c r="U298" s="250">
        <f t="shared" si="87"/>
        <v>0</v>
      </c>
    </row>
    <row r="299" spans="1:21" ht="15.75">
      <c r="A299" s="698"/>
      <c r="B299" s="698"/>
      <c r="C299" s="698"/>
      <c r="D299" s="698"/>
      <c r="E299" s="700" t="s">
        <v>258</v>
      </c>
      <c r="F299" s="702" t="s">
        <v>259</v>
      </c>
      <c r="G299" s="697">
        <v>188714469</v>
      </c>
      <c r="H299" s="216" t="s">
        <v>145</v>
      </c>
      <c r="I299" s="254"/>
      <c r="J299" s="255"/>
      <c r="K299" s="254"/>
      <c r="L299" s="253"/>
      <c r="M299" s="253"/>
      <c r="N299" s="255"/>
      <c r="O299" s="635">
        <f t="shared" ref="O299:O304" si="88">I299+K299</f>
        <v>0</v>
      </c>
      <c r="P299" s="254"/>
      <c r="Q299" s="253"/>
      <c r="R299" s="253"/>
      <c r="S299" s="254"/>
      <c r="T299" s="253"/>
      <c r="U299" s="253"/>
    </row>
    <row r="300" spans="1:21" ht="15.75" customHeight="1">
      <c r="A300" s="698"/>
      <c r="B300" s="698"/>
      <c r="C300" s="698"/>
      <c r="D300" s="698"/>
      <c r="E300" s="698"/>
      <c r="F300" s="698"/>
      <c r="G300" s="698"/>
      <c r="H300" s="216" t="s">
        <v>146</v>
      </c>
      <c r="I300" s="254"/>
      <c r="J300" s="255"/>
      <c r="K300" s="254"/>
      <c r="L300" s="253"/>
      <c r="M300" s="253"/>
      <c r="N300" s="255"/>
      <c r="O300" s="635">
        <f t="shared" si="88"/>
        <v>0</v>
      </c>
      <c r="P300" s="254"/>
      <c r="Q300" s="253"/>
      <c r="R300" s="253"/>
      <c r="S300" s="254"/>
      <c r="T300" s="253"/>
      <c r="U300" s="253"/>
    </row>
    <row r="301" spans="1:21" ht="15.75">
      <c r="A301" s="698"/>
      <c r="B301" s="698"/>
      <c r="C301" s="698"/>
      <c r="D301" s="698"/>
      <c r="E301" s="698"/>
      <c r="F301" s="698"/>
      <c r="G301" s="698"/>
      <c r="H301" s="216" t="s">
        <v>147</v>
      </c>
      <c r="I301" s="254"/>
      <c r="J301" s="255"/>
      <c r="K301" s="254"/>
      <c r="L301" s="253"/>
      <c r="M301" s="253"/>
      <c r="N301" s="255"/>
      <c r="O301" s="635">
        <f t="shared" si="88"/>
        <v>0</v>
      </c>
      <c r="P301" s="254"/>
      <c r="Q301" s="253"/>
      <c r="R301" s="253"/>
      <c r="S301" s="254"/>
      <c r="T301" s="253"/>
      <c r="U301" s="253"/>
    </row>
    <row r="302" spans="1:21" ht="15.75">
      <c r="A302" s="698"/>
      <c r="B302" s="698"/>
      <c r="C302" s="698"/>
      <c r="D302" s="698"/>
      <c r="E302" s="698"/>
      <c r="F302" s="698"/>
      <c r="G302" s="698"/>
      <c r="H302" s="216" t="s">
        <v>148</v>
      </c>
      <c r="I302" s="254"/>
      <c r="J302" s="255"/>
      <c r="K302" s="254"/>
      <c r="L302" s="253"/>
      <c r="M302" s="253"/>
      <c r="N302" s="255"/>
      <c r="O302" s="635">
        <f t="shared" si="88"/>
        <v>0</v>
      </c>
      <c r="P302" s="254"/>
      <c r="Q302" s="253"/>
      <c r="R302" s="253"/>
      <c r="S302" s="254"/>
      <c r="T302" s="253"/>
      <c r="U302" s="253"/>
    </row>
    <row r="303" spans="1:21" ht="15.75">
      <c r="A303" s="698"/>
      <c r="B303" s="698"/>
      <c r="C303" s="698"/>
      <c r="D303" s="698"/>
      <c r="E303" s="698"/>
      <c r="F303" s="698"/>
      <c r="G303" s="698"/>
      <c r="H303" s="216" t="s">
        <v>5</v>
      </c>
      <c r="I303" s="254"/>
      <c r="J303" s="255"/>
      <c r="K303" s="254"/>
      <c r="L303" s="253"/>
      <c r="M303" s="253"/>
      <c r="N303" s="255"/>
      <c r="O303" s="635">
        <f t="shared" si="88"/>
        <v>0</v>
      </c>
      <c r="P303" s="254"/>
      <c r="Q303" s="253"/>
      <c r="R303" s="253"/>
      <c r="S303" s="254"/>
      <c r="T303" s="253"/>
      <c r="U303" s="253"/>
    </row>
    <row r="304" spans="1:21" ht="15.75">
      <c r="A304" s="698"/>
      <c r="B304" s="698"/>
      <c r="C304" s="698"/>
      <c r="D304" s="698"/>
      <c r="E304" s="698"/>
      <c r="F304" s="699"/>
      <c r="G304" s="699"/>
      <c r="H304" s="216" t="s">
        <v>149</v>
      </c>
      <c r="I304" s="254"/>
      <c r="J304" s="255"/>
      <c r="K304" s="254">
        <v>50</v>
      </c>
      <c r="L304" s="253"/>
      <c r="M304" s="253"/>
      <c r="N304" s="255"/>
      <c r="O304" s="635">
        <f t="shared" si="88"/>
        <v>50</v>
      </c>
      <c r="P304" s="254">
        <v>400</v>
      </c>
      <c r="Q304" s="253"/>
      <c r="R304" s="253"/>
      <c r="S304" s="254">
        <v>400</v>
      </c>
      <c r="T304" s="253"/>
      <c r="U304" s="253"/>
    </row>
    <row r="305" spans="1:21" ht="15.75">
      <c r="A305" s="698"/>
      <c r="B305" s="698"/>
      <c r="C305" s="698"/>
      <c r="D305" s="698"/>
      <c r="E305" s="699"/>
      <c r="F305" s="252" t="s">
        <v>257</v>
      </c>
      <c r="G305" s="251"/>
      <c r="H305" s="216" t="s">
        <v>8</v>
      </c>
      <c r="I305" s="250">
        <f t="shared" ref="I305:U305" si="89">SUM(I299:I304)</f>
        <v>0</v>
      </c>
      <c r="J305" s="250">
        <f t="shared" si="89"/>
        <v>0</v>
      </c>
      <c r="K305" s="250">
        <f t="shared" si="89"/>
        <v>50</v>
      </c>
      <c r="L305" s="250">
        <f t="shared" si="89"/>
        <v>0</v>
      </c>
      <c r="M305" s="250">
        <f t="shared" si="89"/>
        <v>0</v>
      </c>
      <c r="N305" s="250">
        <f t="shared" si="89"/>
        <v>0</v>
      </c>
      <c r="O305" s="636">
        <f t="shared" si="89"/>
        <v>50</v>
      </c>
      <c r="P305" s="250">
        <f t="shared" si="89"/>
        <v>400</v>
      </c>
      <c r="Q305" s="250">
        <f t="shared" si="89"/>
        <v>0</v>
      </c>
      <c r="R305" s="250">
        <f t="shared" si="89"/>
        <v>0</v>
      </c>
      <c r="S305" s="250">
        <f t="shared" si="89"/>
        <v>400</v>
      </c>
      <c r="T305" s="250">
        <f t="shared" si="89"/>
        <v>0</v>
      </c>
      <c r="U305" s="250">
        <f t="shared" si="89"/>
        <v>0</v>
      </c>
    </row>
    <row r="306" spans="1:21" ht="15.75">
      <c r="A306" s="698"/>
      <c r="B306" s="698"/>
      <c r="C306" s="698"/>
      <c r="D306" s="698"/>
      <c r="E306" s="700" t="s">
        <v>260</v>
      </c>
      <c r="F306" s="702" t="s">
        <v>261</v>
      </c>
      <c r="G306" s="697">
        <v>188714469</v>
      </c>
      <c r="H306" s="216" t="s">
        <v>145</v>
      </c>
      <c r="I306" s="254"/>
      <c r="J306" s="255"/>
      <c r="K306" s="254"/>
      <c r="L306" s="253"/>
      <c r="M306" s="253"/>
      <c r="N306" s="255"/>
      <c r="O306" s="635">
        <f t="shared" ref="O306:O311" si="90">I306+K306</f>
        <v>0</v>
      </c>
      <c r="P306" s="254"/>
      <c r="Q306" s="253"/>
      <c r="R306" s="253"/>
      <c r="S306" s="254"/>
      <c r="T306" s="253"/>
      <c r="U306" s="253"/>
    </row>
    <row r="307" spans="1:21" ht="15.75" customHeight="1">
      <c r="A307" s="698"/>
      <c r="B307" s="698"/>
      <c r="C307" s="698"/>
      <c r="D307" s="698"/>
      <c r="E307" s="698"/>
      <c r="F307" s="698"/>
      <c r="G307" s="698"/>
      <c r="H307" s="216" t="s">
        <v>146</v>
      </c>
      <c r="I307" s="254"/>
      <c r="J307" s="255"/>
      <c r="K307" s="254"/>
      <c r="L307" s="253"/>
      <c r="M307" s="253"/>
      <c r="N307" s="255"/>
      <c r="O307" s="635">
        <f t="shared" si="90"/>
        <v>0</v>
      </c>
      <c r="P307" s="254"/>
      <c r="Q307" s="253"/>
      <c r="R307" s="253"/>
      <c r="S307" s="254"/>
      <c r="T307" s="253"/>
      <c r="U307" s="253"/>
    </row>
    <row r="308" spans="1:21" ht="15.75">
      <c r="A308" s="698"/>
      <c r="B308" s="698"/>
      <c r="C308" s="698"/>
      <c r="D308" s="698"/>
      <c r="E308" s="698"/>
      <c r="F308" s="698"/>
      <c r="G308" s="698"/>
      <c r="H308" s="216" t="s">
        <v>147</v>
      </c>
      <c r="I308" s="254"/>
      <c r="J308" s="255"/>
      <c r="K308" s="254"/>
      <c r="L308" s="253"/>
      <c r="M308" s="253"/>
      <c r="N308" s="255"/>
      <c r="O308" s="635">
        <f t="shared" si="90"/>
        <v>0</v>
      </c>
      <c r="P308" s="254"/>
      <c r="Q308" s="253"/>
      <c r="R308" s="253"/>
      <c r="S308" s="254"/>
      <c r="T308" s="253"/>
      <c r="U308" s="253"/>
    </row>
    <row r="309" spans="1:21" ht="15.75">
      <c r="A309" s="698"/>
      <c r="B309" s="698"/>
      <c r="C309" s="698"/>
      <c r="D309" s="698"/>
      <c r="E309" s="698"/>
      <c r="F309" s="698"/>
      <c r="G309" s="698"/>
      <c r="H309" s="216" t="s">
        <v>148</v>
      </c>
      <c r="I309" s="254"/>
      <c r="J309" s="255"/>
      <c r="K309" s="254"/>
      <c r="L309" s="253"/>
      <c r="M309" s="253"/>
      <c r="N309" s="255"/>
      <c r="O309" s="635">
        <f t="shared" si="90"/>
        <v>0</v>
      </c>
      <c r="P309" s="254"/>
      <c r="Q309" s="253"/>
      <c r="R309" s="253"/>
      <c r="S309" s="254"/>
      <c r="T309" s="253"/>
      <c r="U309" s="253"/>
    </row>
    <row r="310" spans="1:21" ht="15.75">
      <c r="A310" s="698"/>
      <c r="B310" s="698"/>
      <c r="C310" s="698"/>
      <c r="D310" s="698"/>
      <c r="E310" s="698"/>
      <c r="F310" s="698"/>
      <c r="G310" s="698"/>
      <c r="H310" s="216" t="s">
        <v>5</v>
      </c>
      <c r="I310" s="254"/>
      <c r="J310" s="255"/>
      <c r="K310" s="254"/>
      <c r="L310" s="253"/>
      <c r="M310" s="253"/>
      <c r="N310" s="255"/>
      <c r="O310" s="635">
        <f t="shared" si="90"/>
        <v>0</v>
      </c>
      <c r="P310" s="254"/>
      <c r="Q310" s="253"/>
      <c r="R310" s="253"/>
      <c r="S310" s="254"/>
      <c r="T310" s="253"/>
      <c r="U310" s="253"/>
    </row>
    <row r="311" spans="1:21" ht="15.75">
      <c r="A311" s="698"/>
      <c r="B311" s="698"/>
      <c r="C311" s="698"/>
      <c r="D311" s="698"/>
      <c r="E311" s="698"/>
      <c r="F311" s="699"/>
      <c r="G311" s="699"/>
      <c r="H311" s="216" t="s">
        <v>149</v>
      </c>
      <c r="I311" s="254"/>
      <c r="J311" s="255"/>
      <c r="K311" s="254">
        <v>30</v>
      </c>
      <c r="L311" s="253"/>
      <c r="M311" s="253"/>
      <c r="N311" s="255"/>
      <c r="O311" s="635">
        <f t="shared" si="90"/>
        <v>30</v>
      </c>
      <c r="P311" s="254">
        <v>120</v>
      </c>
      <c r="Q311" s="253"/>
      <c r="R311" s="253"/>
      <c r="S311" s="254">
        <v>200</v>
      </c>
      <c r="T311" s="253"/>
      <c r="U311" s="253"/>
    </row>
    <row r="312" spans="1:21" ht="15.75">
      <c r="A312" s="698"/>
      <c r="B312" s="698"/>
      <c r="C312" s="698"/>
      <c r="D312" s="698"/>
      <c r="E312" s="699"/>
      <c r="F312" s="252" t="s">
        <v>257</v>
      </c>
      <c r="G312" s="251"/>
      <c r="H312" s="216" t="s">
        <v>8</v>
      </c>
      <c r="I312" s="250">
        <f t="shared" ref="I312:U312" si="91">SUM(I306:I311)</f>
        <v>0</v>
      </c>
      <c r="J312" s="250">
        <f t="shared" si="91"/>
        <v>0</v>
      </c>
      <c r="K312" s="250">
        <f t="shared" si="91"/>
        <v>30</v>
      </c>
      <c r="L312" s="250">
        <f t="shared" si="91"/>
        <v>0</v>
      </c>
      <c r="M312" s="250">
        <f t="shared" si="91"/>
        <v>0</v>
      </c>
      <c r="N312" s="250">
        <f t="shared" si="91"/>
        <v>0</v>
      </c>
      <c r="O312" s="636">
        <f t="shared" si="91"/>
        <v>30</v>
      </c>
      <c r="P312" s="250">
        <f t="shared" si="91"/>
        <v>120</v>
      </c>
      <c r="Q312" s="250">
        <f t="shared" si="91"/>
        <v>0</v>
      </c>
      <c r="R312" s="250">
        <f t="shared" si="91"/>
        <v>0</v>
      </c>
      <c r="S312" s="250">
        <f t="shared" si="91"/>
        <v>200</v>
      </c>
      <c r="T312" s="250">
        <f t="shared" si="91"/>
        <v>0</v>
      </c>
      <c r="U312" s="250">
        <f t="shared" si="91"/>
        <v>0</v>
      </c>
    </row>
    <row r="313" spans="1:21" ht="15.75">
      <c r="A313" s="698"/>
      <c r="B313" s="698"/>
      <c r="C313" s="698"/>
      <c r="D313" s="698"/>
      <c r="E313" s="700" t="s">
        <v>262</v>
      </c>
      <c r="F313" s="701" t="s">
        <v>263</v>
      </c>
      <c r="G313" s="697">
        <v>188714469</v>
      </c>
      <c r="H313" s="216" t="s">
        <v>145</v>
      </c>
      <c r="I313" s="254"/>
      <c r="J313" s="255"/>
      <c r="K313" s="254"/>
      <c r="L313" s="253"/>
      <c r="M313" s="253"/>
      <c r="N313" s="255"/>
      <c r="O313" s="635">
        <f t="shared" ref="O313:O318" si="92">I313+K313</f>
        <v>0</v>
      </c>
      <c r="P313" s="254"/>
      <c r="Q313" s="253"/>
      <c r="R313" s="253"/>
      <c r="S313" s="254"/>
      <c r="T313" s="253"/>
      <c r="U313" s="253"/>
    </row>
    <row r="314" spans="1:21" ht="15.75">
      <c r="A314" s="698"/>
      <c r="B314" s="698"/>
      <c r="C314" s="698"/>
      <c r="D314" s="698"/>
      <c r="E314" s="698"/>
      <c r="F314" s="698"/>
      <c r="G314" s="698"/>
      <c r="H314" s="216" t="s">
        <v>146</v>
      </c>
      <c r="I314" s="254"/>
      <c r="J314" s="255"/>
      <c r="K314" s="254"/>
      <c r="L314" s="253"/>
      <c r="M314" s="253"/>
      <c r="N314" s="255"/>
      <c r="O314" s="635">
        <f t="shared" si="92"/>
        <v>0</v>
      </c>
      <c r="P314" s="254"/>
      <c r="Q314" s="253"/>
      <c r="R314" s="253"/>
      <c r="S314" s="254"/>
      <c r="T314" s="253"/>
      <c r="U314" s="253"/>
    </row>
    <row r="315" spans="1:21" ht="15.75">
      <c r="A315" s="698"/>
      <c r="B315" s="698"/>
      <c r="C315" s="698"/>
      <c r="D315" s="698"/>
      <c r="E315" s="698"/>
      <c r="F315" s="698"/>
      <c r="G315" s="698"/>
      <c r="H315" s="216" t="s">
        <v>147</v>
      </c>
      <c r="I315" s="254"/>
      <c r="J315" s="255"/>
      <c r="K315" s="254"/>
      <c r="L315" s="253"/>
      <c r="M315" s="253"/>
      <c r="N315" s="255"/>
      <c r="O315" s="635">
        <f t="shared" si="92"/>
        <v>0</v>
      </c>
      <c r="P315" s="254"/>
      <c r="Q315" s="253"/>
      <c r="R315" s="253"/>
      <c r="S315" s="254"/>
      <c r="T315" s="253"/>
      <c r="U315" s="253"/>
    </row>
    <row r="316" spans="1:21" ht="15.75">
      <c r="A316" s="698"/>
      <c r="B316" s="698"/>
      <c r="C316" s="698"/>
      <c r="D316" s="698"/>
      <c r="E316" s="698"/>
      <c r="F316" s="698"/>
      <c r="G316" s="698"/>
      <c r="H316" s="216" t="s">
        <v>148</v>
      </c>
      <c r="I316" s="254"/>
      <c r="J316" s="255"/>
      <c r="K316" s="254"/>
      <c r="L316" s="253"/>
      <c r="M316" s="253"/>
      <c r="N316" s="255"/>
      <c r="O316" s="635">
        <f t="shared" si="92"/>
        <v>0</v>
      </c>
      <c r="P316" s="254"/>
      <c r="Q316" s="253"/>
      <c r="R316" s="253"/>
      <c r="S316" s="254"/>
      <c r="T316" s="253"/>
      <c r="U316" s="253"/>
    </row>
    <row r="317" spans="1:21" ht="15.75">
      <c r="A317" s="698"/>
      <c r="B317" s="698"/>
      <c r="C317" s="698"/>
      <c r="D317" s="698"/>
      <c r="E317" s="698"/>
      <c r="F317" s="698"/>
      <c r="G317" s="698"/>
      <c r="H317" s="216" t="s">
        <v>5</v>
      </c>
      <c r="I317" s="254"/>
      <c r="J317" s="255"/>
      <c r="K317" s="254">
        <v>121.3</v>
      </c>
      <c r="L317" s="253">
        <v>121.3</v>
      </c>
      <c r="M317" s="253"/>
      <c r="N317" s="255"/>
      <c r="O317" s="635">
        <f t="shared" si="92"/>
        <v>121.3</v>
      </c>
      <c r="P317" s="254"/>
      <c r="Q317" s="253"/>
      <c r="R317" s="253"/>
      <c r="S317" s="254"/>
      <c r="T317" s="253"/>
      <c r="U317" s="253"/>
    </row>
    <row r="318" spans="1:21" ht="15.75">
      <c r="A318" s="698"/>
      <c r="B318" s="698"/>
      <c r="C318" s="698"/>
      <c r="D318" s="698"/>
      <c r="E318" s="698"/>
      <c r="F318" s="699"/>
      <c r="G318" s="699"/>
      <c r="H318" s="216" t="s">
        <v>149</v>
      </c>
      <c r="I318" s="254"/>
      <c r="J318" s="255"/>
      <c r="K318" s="254"/>
      <c r="L318" s="253"/>
      <c r="M318" s="253"/>
      <c r="N318" s="255"/>
      <c r="O318" s="635">
        <f t="shared" si="92"/>
        <v>0</v>
      </c>
      <c r="P318" s="254"/>
      <c r="Q318" s="253"/>
      <c r="R318" s="253"/>
      <c r="S318" s="254"/>
      <c r="T318" s="253"/>
      <c r="U318" s="253"/>
    </row>
    <row r="319" spans="1:21" ht="15.75">
      <c r="A319" s="698"/>
      <c r="B319" s="698"/>
      <c r="C319" s="698"/>
      <c r="D319" s="698"/>
      <c r="E319" s="699"/>
      <c r="F319" s="252" t="s">
        <v>264</v>
      </c>
      <c r="G319" s="251"/>
      <c r="H319" s="216" t="s">
        <v>8</v>
      </c>
      <c r="I319" s="250">
        <f t="shared" ref="I319:U319" si="93">SUM(I313:I318)</f>
        <v>0</v>
      </c>
      <c r="J319" s="250">
        <f t="shared" si="93"/>
        <v>0</v>
      </c>
      <c r="K319" s="250">
        <f t="shared" si="93"/>
        <v>121.3</v>
      </c>
      <c r="L319" s="250">
        <f t="shared" si="93"/>
        <v>121.3</v>
      </c>
      <c r="M319" s="250">
        <f t="shared" si="93"/>
        <v>0</v>
      </c>
      <c r="N319" s="250">
        <f t="shared" si="93"/>
        <v>0</v>
      </c>
      <c r="O319" s="636">
        <f t="shared" si="93"/>
        <v>121.3</v>
      </c>
      <c r="P319" s="250">
        <f t="shared" si="93"/>
        <v>0</v>
      </c>
      <c r="Q319" s="250">
        <f t="shared" si="93"/>
        <v>0</v>
      </c>
      <c r="R319" s="250">
        <f t="shared" si="93"/>
        <v>0</v>
      </c>
      <c r="S319" s="250">
        <f t="shared" si="93"/>
        <v>0</v>
      </c>
      <c r="T319" s="250">
        <f t="shared" si="93"/>
        <v>0</v>
      </c>
      <c r="U319" s="250">
        <f t="shared" si="93"/>
        <v>0</v>
      </c>
    </row>
    <row r="320" spans="1:21" ht="15.75">
      <c r="A320" s="698"/>
      <c r="B320" s="698"/>
      <c r="C320" s="698"/>
      <c r="D320" s="698"/>
      <c r="E320" s="700" t="s">
        <v>265</v>
      </c>
      <c r="F320" s="701" t="s">
        <v>266</v>
      </c>
      <c r="G320" s="697">
        <v>188714469</v>
      </c>
      <c r="H320" s="216" t="s">
        <v>145</v>
      </c>
      <c r="I320" s="254"/>
      <c r="J320" s="255"/>
      <c r="K320" s="254"/>
      <c r="L320" s="253"/>
      <c r="M320" s="253"/>
      <c r="N320" s="255"/>
      <c r="O320" s="635">
        <f t="shared" ref="O320:O325" si="94">I320+K320</f>
        <v>0</v>
      </c>
      <c r="P320" s="254"/>
      <c r="Q320" s="253"/>
      <c r="R320" s="253"/>
      <c r="S320" s="254"/>
      <c r="T320" s="253"/>
      <c r="U320" s="253"/>
    </row>
    <row r="321" spans="1:21" ht="15.75">
      <c r="A321" s="698"/>
      <c r="B321" s="698"/>
      <c r="C321" s="698"/>
      <c r="D321" s="698"/>
      <c r="E321" s="698"/>
      <c r="F321" s="698"/>
      <c r="G321" s="698"/>
      <c r="H321" s="216" t="s">
        <v>146</v>
      </c>
      <c r="I321" s="254"/>
      <c r="J321" s="255"/>
      <c r="K321" s="254"/>
      <c r="L321" s="253"/>
      <c r="M321" s="253"/>
      <c r="N321" s="255"/>
      <c r="O321" s="635">
        <f t="shared" si="94"/>
        <v>0</v>
      </c>
      <c r="P321" s="254"/>
      <c r="Q321" s="253"/>
      <c r="R321" s="253"/>
      <c r="S321" s="254"/>
      <c r="T321" s="253"/>
      <c r="U321" s="253"/>
    </row>
    <row r="322" spans="1:21" ht="15.75">
      <c r="A322" s="698"/>
      <c r="B322" s="698"/>
      <c r="C322" s="698"/>
      <c r="D322" s="698"/>
      <c r="E322" s="698"/>
      <c r="F322" s="698"/>
      <c r="G322" s="698"/>
      <c r="H322" s="216" t="s">
        <v>147</v>
      </c>
      <c r="I322" s="254"/>
      <c r="J322" s="255"/>
      <c r="K322" s="254"/>
      <c r="L322" s="253"/>
      <c r="M322" s="253"/>
      <c r="N322" s="255"/>
      <c r="O322" s="635">
        <f t="shared" si="94"/>
        <v>0</v>
      </c>
      <c r="P322" s="254"/>
      <c r="Q322" s="253"/>
      <c r="R322" s="253"/>
      <c r="S322" s="254"/>
      <c r="T322" s="253"/>
      <c r="U322" s="253"/>
    </row>
    <row r="323" spans="1:21" ht="15.75">
      <c r="A323" s="698"/>
      <c r="B323" s="698"/>
      <c r="C323" s="698"/>
      <c r="D323" s="698"/>
      <c r="E323" s="698"/>
      <c r="F323" s="698"/>
      <c r="G323" s="698"/>
      <c r="H323" s="216" t="s">
        <v>148</v>
      </c>
      <c r="I323" s="254"/>
      <c r="J323" s="255"/>
      <c r="K323" s="254"/>
      <c r="L323" s="253"/>
      <c r="M323" s="253"/>
      <c r="N323" s="255"/>
      <c r="O323" s="635">
        <f t="shared" si="94"/>
        <v>0</v>
      </c>
      <c r="P323" s="254"/>
      <c r="Q323" s="253"/>
      <c r="R323" s="253"/>
      <c r="S323" s="254"/>
      <c r="T323" s="253"/>
      <c r="U323" s="253"/>
    </row>
    <row r="324" spans="1:21" ht="15.75">
      <c r="A324" s="698"/>
      <c r="B324" s="698"/>
      <c r="C324" s="698"/>
      <c r="D324" s="698"/>
      <c r="E324" s="698"/>
      <c r="F324" s="698"/>
      <c r="G324" s="698"/>
      <c r="H324" s="216" t="s">
        <v>5</v>
      </c>
      <c r="I324" s="254"/>
      <c r="J324" s="255"/>
      <c r="K324" s="254">
        <v>46.4</v>
      </c>
      <c r="L324" s="253">
        <v>46.4</v>
      </c>
      <c r="M324" s="253"/>
      <c r="N324" s="255"/>
      <c r="O324" s="635">
        <f t="shared" si="94"/>
        <v>46.4</v>
      </c>
      <c r="P324" s="254"/>
      <c r="Q324" s="253"/>
      <c r="R324" s="253"/>
      <c r="S324" s="254"/>
      <c r="T324" s="253"/>
      <c r="U324" s="253"/>
    </row>
    <row r="325" spans="1:21" ht="15.75">
      <c r="A325" s="698"/>
      <c r="B325" s="698"/>
      <c r="C325" s="698"/>
      <c r="D325" s="698"/>
      <c r="E325" s="698"/>
      <c r="F325" s="699"/>
      <c r="G325" s="699"/>
      <c r="H325" s="216" t="s">
        <v>149</v>
      </c>
      <c r="I325" s="254"/>
      <c r="J325" s="255"/>
      <c r="K325" s="254"/>
      <c r="L325" s="253"/>
      <c r="M325" s="253"/>
      <c r="N325" s="255"/>
      <c r="O325" s="635">
        <f t="shared" si="94"/>
        <v>0</v>
      </c>
      <c r="P325" s="254"/>
      <c r="Q325" s="253"/>
      <c r="R325" s="253"/>
      <c r="S325" s="254"/>
      <c r="T325" s="253"/>
      <c r="U325" s="253"/>
    </row>
    <row r="326" spans="1:21" ht="15.75">
      <c r="A326" s="698"/>
      <c r="B326" s="698"/>
      <c r="C326" s="698"/>
      <c r="D326" s="698"/>
      <c r="E326" s="699"/>
      <c r="F326" s="252" t="s">
        <v>264</v>
      </c>
      <c r="G326" s="251"/>
      <c r="H326" s="216" t="s">
        <v>8</v>
      </c>
      <c r="I326" s="250">
        <f t="shared" ref="I326:U326" si="95">SUM(I320:I325)</f>
        <v>0</v>
      </c>
      <c r="J326" s="250">
        <f t="shared" si="95"/>
        <v>0</v>
      </c>
      <c r="K326" s="250">
        <f t="shared" si="95"/>
        <v>46.4</v>
      </c>
      <c r="L326" s="250">
        <f t="shared" si="95"/>
        <v>46.4</v>
      </c>
      <c r="M326" s="250">
        <f t="shared" si="95"/>
        <v>0</v>
      </c>
      <c r="N326" s="250">
        <f t="shared" si="95"/>
        <v>0</v>
      </c>
      <c r="O326" s="636">
        <f t="shared" si="95"/>
        <v>46.4</v>
      </c>
      <c r="P326" s="250">
        <f t="shared" si="95"/>
        <v>0</v>
      </c>
      <c r="Q326" s="250">
        <f t="shared" si="95"/>
        <v>0</v>
      </c>
      <c r="R326" s="250">
        <f t="shared" si="95"/>
        <v>0</v>
      </c>
      <c r="S326" s="250">
        <f t="shared" si="95"/>
        <v>0</v>
      </c>
      <c r="T326" s="250">
        <f t="shared" si="95"/>
        <v>0</v>
      </c>
      <c r="U326" s="250">
        <f t="shared" si="95"/>
        <v>0</v>
      </c>
    </row>
    <row r="327" spans="1:21" ht="15.75">
      <c r="A327" s="698"/>
      <c r="B327" s="698"/>
      <c r="C327" s="698"/>
      <c r="D327" s="698"/>
      <c r="E327" s="700" t="s">
        <v>267</v>
      </c>
      <c r="F327" s="736" t="s">
        <v>268</v>
      </c>
      <c r="G327" s="697">
        <v>188714469</v>
      </c>
      <c r="H327" s="216" t="s">
        <v>145</v>
      </c>
      <c r="I327" s="254"/>
      <c r="J327" s="255"/>
      <c r="K327" s="254"/>
      <c r="L327" s="253"/>
      <c r="M327" s="253"/>
      <c r="N327" s="255"/>
      <c r="O327" s="635">
        <f t="shared" ref="O327:O332" si="96">I327+K327</f>
        <v>0</v>
      </c>
      <c r="P327" s="254"/>
      <c r="Q327" s="253"/>
      <c r="R327" s="253"/>
      <c r="S327" s="254"/>
      <c r="T327" s="253"/>
      <c r="U327" s="253"/>
    </row>
    <row r="328" spans="1:21" ht="15.75">
      <c r="A328" s="698"/>
      <c r="B328" s="698"/>
      <c r="C328" s="698"/>
      <c r="D328" s="698"/>
      <c r="E328" s="698"/>
      <c r="F328" s="698"/>
      <c r="G328" s="698"/>
      <c r="H328" s="216" t="s">
        <v>146</v>
      </c>
      <c r="I328" s="254"/>
      <c r="J328" s="255"/>
      <c r="K328" s="254"/>
      <c r="L328" s="253"/>
      <c r="M328" s="253"/>
      <c r="N328" s="255"/>
      <c r="O328" s="635">
        <f t="shared" si="96"/>
        <v>0</v>
      </c>
      <c r="P328" s="254"/>
      <c r="Q328" s="253"/>
      <c r="R328" s="253"/>
      <c r="S328" s="254"/>
      <c r="T328" s="253"/>
      <c r="U328" s="253"/>
    </row>
    <row r="329" spans="1:21" ht="15.75">
      <c r="A329" s="698"/>
      <c r="B329" s="698"/>
      <c r="C329" s="698"/>
      <c r="D329" s="698"/>
      <c r="E329" s="698"/>
      <c r="F329" s="698"/>
      <c r="G329" s="698"/>
      <c r="H329" s="216" t="s">
        <v>147</v>
      </c>
      <c r="I329" s="254"/>
      <c r="J329" s="255"/>
      <c r="K329" s="254"/>
      <c r="L329" s="253"/>
      <c r="M329" s="253"/>
      <c r="N329" s="255"/>
      <c r="O329" s="635">
        <f t="shared" si="96"/>
        <v>0</v>
      </c>
      <c r="P329" s="254"/>
      <c r="Q329" s="253"/>
      <c r="R329" s="253"/>
      <c r="S329" s="254"/>
      <c r="T329" s="253"/>
      <c r="U329" s="253"/>
    </row>
    <row r="330" spans="1:21" ht="15.75">
      <c r="A330" s="698"/>
      <c r="B330" s="698"/>
      <c r="C330" s="698"/>
      <c r="D330" s="698"/>
      <c r="E330" s="698"/>
      <c r="F330" s="698"/>
      <c r="G330" s="698"/>
      <c r="H330" s="216" t="s">
        <v>148</v>
      </c>
      <c r="I330" s="254"/>
      <c r="J330" s="255"/>
      <c r="K330" s="254"/>
      <c r="L330" s="253"/>
      <c r="M330" s="253"/>
      <c r="N330" s="255"/>
      <c r="O330" s="635">
        <f t="shared" si="96"/>
        <v>0</v>
      </c>
      <c r="P330" s="254"/>
      <c r="Q330" s="253"/>
      <c r="R330" s="253"/>
      <c r="S330" s="254"/>
      <c r="T330" s="253"/>
      <c r="U330" s="253"/>
    </row>
    <row r="331" spans="1:21" ht="15.75">
      <c r="A331" s="698"/>
      <c r="B331" s="698"/>
      <c r="C331" s="698"/>
      <c r="D331" s="698"/>
      <c r="E331" s="698"/>
      <c r="F331" s="698"/>
      <c r="G331" s="698"/>
      <c r="H331" s="216" t="s">
        <v>5</v>
      </c>
      <c r="I331" s="254"/>
      <c r="J331" s="255"/>
      <c r="K331" s="254">
        <v>121</v>
      </c>
      <c r="L331" s="253">
        <v>121</v>
      </c>
      <c r="M331" s="253"/>
      <c r="N331" s="255"/>
      <c r="O331" s="635">
        <f t="shared" si="96"/>
        <v>121</v>
      </c>
      <c r="P331" s="254"/>
      <c r="Q331" s="253"/>
      <c r="R331" s="253"/>
      <c r="S331" s="254"/>
      <c r="T331" s="253"/>
      <c r="U331" s="253"/>
    </row>
    <row r="332" spans="1:21" ht="15.75">
      <c r="A332" s="698"/>
      <c r="B332" s="698"/>
      <c r="C332" s="698"/>
      <c r="D332" s="698"/>
      <c r="E332" s="698"/>
      <c r="F332" s="699"/>
      <c r="G332" s="699"/>
      <c r="H332" s="216" t="s">
        <v>149</v>
      </c>
      <c r="I332" s="254"/>
      <c r="J332" s="255"/>
      <c r="K332" s="254"/>
      <c r="L332" s="253"/>
      <c r="M332" s="253"/>
      <c r="N332" s="255"/>
      <c r="O332" s="635">
        <f t="shared" si="96"/>
        <v>0</v>
      </c>
      <c r="P332" s="254"/>
      <c r="Q332" s="253"/>
      <c r="R332" s="253"/>
      <c r="S332" s="254"/>
      <c r="T332" s="253"/>
      <c r="U332" s="253"/>
    </row>
    <row r="333" spans="1:21" ht="15.75">
      <c r="A333" s="698"/>
      <c r="B333" s="698"/>
      <c r="C333" s="698"/>
      <c r="D333" s="698"/>
      <c r="E333" s="699"/>
      <c r="F333" s="252" t="s">
        <v>264</v>
      </c>
      <c r="G333" s="251"/>
      <c r="H333" s="216" t="s">
        <v>8</v>
      </c>
      <c r="I333" s="250">
        <f t="shared" ref="I333:U333" si="97">SUM(I327:I332)</f>
        <v>0</v>
      </c>
      <c r="J333" s="250">
        <f t="shared" si="97"/>
        <v>0</v>
      </c>
      <c r="K333" s="250">
        <f t="shared" si="97"/>
        <v>121</v>
      </c>
      <c r="L333" s="250">
        <f t="shared" si="97"/>
        <v>121</v>
      </c>
      <c r="M333" s="250">
        <f t="shared" si="97"/>
        <v>0</v>
      </c>
      <c r="N333" s="250">
        <f t="shared" si="97"/>
        <v>0</v>
      </c>
      <c r="O333" s="636">
        <f t="shared" si="97"/>
        <v>121</v>
      </c>
      <c r="P333" s="250">
        <f t="shared" si="97"/>
        <v>0</v>
      </c>
      <c r="Q333" s="250">
        <f t="shared" si="97"/>
        <v>0</v>
      </c>
      <c r="R333" s="250">
        <f t="shared" si="97"/>
        <v>0</v>
      </c>
      <c r="S333" s="250">
        <f t="shared" si="97"/>
        <v>0</v>
      </c>
      <c r="T333" s="250">
        <f t="shared" si="97"/>
        <v>0</v>
      </c>
      <c r="U333" s="250">
        <f t="shared" si="97"/>
        <v>0</v>
      </c>
    </row>
    <row r="334" spans="1:21" ht="15.75">
      <c r="A334" s="698"/>
      <c r="B334" s="698"/>
      <c r="C334" s="698"/>
      <c r="D334" s="698"/>
      <c r="E334" s="700" t="s">
        <v>269</v>
      </c>
      <c r="F334" s="701" t="s">
        <v>270</v>
      </c>
      <c r="G334" s="697">
        <v>188714469</v>
      </c>
      <c r="H334" s="216" t="s">
        <v>145</v>
      </c>
      <c r="I334" s="254"/>
      <c r="J334" s="255"/>
      <c r="K334" s="254"/>
      <c r="L334" s="253"/>
      <c r="M334" s="253"/>
      <c r="N334" s="255"/>
      <c r="O334" s="635">
        <f t="shared" ref="O334:O339" si="98">I334+K334</f>
        <v>0</v>
      </c>
      <c r="P334" s="254"/>
      <c r="Q334" s="253"/>
      <c r="R334" s="253"/>
      <c r="S334" s="254"/>
      <c r="T334" s="253"/>
      <c r="U334" s="253"/>
    </row>
    <row r="335" spans="1:21" ht="15.75">
      <c r="A335" s="698"/>
      <c r="B335" s="698"/>
      <c r="C335" s="698"/>
      <c r="D335" s="698"/>
      <c r="E335" s="698"/>
      <c r="F335" s="698"/>
      <c r="G335" s="698"/>
      <c r="H335" s="216" t="s">
        <v>146</v>
      </c>
      <c r="I335" s="254"/>
      <c r="J335" s="255"/>
      <c r="K335" s="254"/>
      <c r="L335" s="253"/>
      <c r="M335" s="253"/>
      <c r="N335" s="255"/>
      <c r="O335" s="635">
        <f t="shared" si="98"/>
        <v>0</v>
      </c>
      <c r="P335" s="254"/>
      <c r="Q335" s="253"/>
      <c r="R335" s="253"/>
      <c r="S335" s="254"/>
      <c r="T335" s="253"/>
      <c r="U335" s="253"/>
    </row>
    <row r="336" spans="1:21" ht="15.75">
      <c r="A336" s="698"/>
      <c r="B336" s="698"/>
      <c r="C336" s="698"/>
      <c r="D336" s="698"/>
      <c r="E336" s="698"/>
      <c r="F336" s="698"/>
      <c r="G336" s="698"/>
      <c r="H336" s="216" t="s">
        <v>147</v>
      </c>
      <c r="I336" s="254"/>
      <c r="J336" s="255"/>
      <c r="K336" s="254"/>
      <c r="L336" s="253"/>
      <c r="M336" s="253"/>
      <c r="N336" s="255"/>
      <c r="O336" s="635">
        <f t="shared" si="98"/>
        <v>0</v>
      </c>
      <c r="P336" s="254"/>
      <c r="Q336" s="253"/>
      <c r="R336" s="253"/>
      <c r="S336" s="254"/>
      <c r="T336" s="253"/>
      <c r="U336" s="253"/>
    </row>
    <row r="337" spans="1:21" ht="15.75">
      <c r="A337" s="698"/>
      <c r="B337" s="698"/>
      <c r="C337" s="698"/>
      <c r="D337" s="698"/>
      <c r="E337" s="698"/>
      <c r="F337" s="698"/>
      <c r="G337" s="698"/>
      <c r="H337" s="216" t="s">
        <v>148</v>
      </c>
      <c r="I337" s="254"/>
      <c r="J337" s="255"/>
      <c r="K337" s="254"/>
      <c r="L337" s="253"/>
      <c r="M337" s="253"/>
      <c r="N337" s="255"/>
      <c r="O337" s="635">
        <f t="shared" si="98"/>
        <v>0</v>
      </c>
      <c r="P337" s="254"/>
      <c r="Q337" s="253"/>
      <c r="R337" s="253"/>
      <c r="S337" s="254"/>
      <c r="T337" s="253"/>
      <c r="U337" s="253"/>
    </row>
    <row r="338" spans="1:21" ht="15.75">
      <c r="A338" s="698"/>
      <c r="B338" s="698"/>
      <c r="C338" s="698"/>
      <c r="D338" s="698"/>
      <c r="E338" s="698"/>
      <c r="F338" s="698"/>
      <c r="G338" s="698"/>
      <c r="H338" s="216" t="s">
        <v>5</v>
      </c>
      <c r="I338" s="254"/>
      <c r="J338" s="255"/>
      <c r="K338" s="254">
        <v>115</v>
      </c>
      <c r="L338" s="253">
        <v>115</v>
      </c>
      <c r="M338" s="253"/>
      <c r="N338" s="255"/>
      <c r="O338" s="635">
        <f t="shared" si="98"/>
        <v>115</v>
      </c>
      <c r="P338" s="254"/>
      <c r="Q338" s="253"/>
      <c r="R338" s="253"/>
      <c r="S338" s="254"/>
      <c r="T338" s="253"/>
      <c r="U338" s="253"/>
    </row>
    <row r="339" spans="1:21" ht="15.75">
      <c r="A339" s="698"/>
      <c r="B339" s="698"/>
      <c r="C339" s="698"/>
      <c r="D339" s="698"/>
      <c r="E339" s="698"/>
      <c r="F339" s="699"/>
      <c r="G339" s="699"/>
      <c r="H339" s="216" t="s">
        <v>149</v>
      </c>
      <c r="I339" s="254"/>
      <c r="J339" s="255"/>
      <c r="K339" s="254"/>
      <c r="L339" s="253"/>
      <c r="M339" s="253"/>
      <c r="N339" s="255"/>
      <c r="O339" s="635">
        <f t="shared" si="98"/>
        <v>0</v>
      </c>
      <c r="P339" s="254"/>
      <c r="Q339" s="253"/>
      <c r="R339" s="253"/>
      <c r="S339" s="254"/>
      <c r="T339" s="253"/>
      <c r="U339" s="253"/>
    </row>
    <row r="340" spans="1:21" ht="15.75">
      <c r="A340" s="698"/>
      <c r="B340" s="698"/>
      <c r="C340" s="698"/>
      <c r="D340" s="698"/>
      <c r="E340" s="699"/>
      <c r="F340" s="252" t="s">
        <v>264</v>
      </c>
      <c r="G340" s="251"/>
      <c r="H340" s="216" t="s">
        <v>8</v>
      </c>
      <c r="I340" s="250">
        <f t="shared" ref="I340:U340" si="99">SUM(I334:I339)</f>
        <v>0</v>
      </c>
      <c r="J340" s="250">
        <f t="shared" si="99"/>
        <v>0</v>
      </c>
      <c r="K340" s="250">
        <f t="shared" si="99"/>
        <v>115</v>
      </c>
      <c r="L340" s="250">
        <f t="shared" si="99"/>
        <v>115</v>
      </c>
      <c r="M340" s="250">
        <f t="shared" si="99"/>
        <v>0</v>
      </c>
      <c r="N340" s="250">
        <f t="shared" si="99"/>
        <v>0</v>
      </c>
      <c r="O340" s="636">
        <f t="shared" si="99"/>
        <v>115</v>
      </c>
      <c r="P340" s="250">
        <f t="shared" si="99"/>
        <v>0</v>
      </c>
      <c r="Q340" s="250">
        <f t="shared" si="99"/>
        <v>0</v>
      </c>
      <c r="R340" s="250">
        <f t="shared" si="99"/>
        <v>0</v>
      </c>
      <c r="S340" s="250">
        <f t="shared" si="99"/>
        <v>0</v>
      </c>
      <c r="T340" s="250">
        <f t="shared" si="99"/>
        <v>0</v>
      </c>
      <c r="U340" s="250">
        <f t="shared" si="99"/>
        <v>0</v>
      </c>
    </row>
    <row r="341" spans="1:21" ht="15.75" customHeight="1">
      <c r="A341" s="698"/>
      <c r="B341" s="698"/>
      <c r="C341" s="698"/>
      <c r="D341" s="698"/>
      <c r="E341" s="700" t="s">
        <v>271</v>
      </c>
      <c r="F341" s="702" t="s">
        <v>272</v>
      </c>
      <c r="G341" s="697">
        <v>188714469</v>
      </c>
      <c r="H341" s="216" t="s">
        <v>145</v>
      </c>
      <c r="I341" s="254"/>
      <c r="J341" s="255"/>
      <c r="K341" s="254"/>
      <c r="L341" s="253"/>
      <c r="M341" s="253"/>
      <c r="N341" s="255"/>
      <c r="O341" s="635">
        <f t="shared" ref="O341:O346" si="100">I341+K341</f>
        <v>0</v>
      </c>
      <c r="P341" s="254"/>
      <c r="Q341" s="253"/>
      <c r="R341" s="253"/>
      <c r="S341" s="254"/>
      <c r="T341" s="253"/>
      <c r="U341" s="253"/>
    </row>
    <row r="342" spans="1:21" ht="15.75" customHeight="1">
      <c r="A342" s="698"/>
      <c r="B342" s="698"/>
      <c r="C342" s="698"/>
      <c r="D342" s="698"/>
      <c r="E342" s="698"/>
      <c r="F342" s="698"/>
      <c r="G342" s="698"/>
      <c r="H342" s="216" t="s">
        <v>146</v>
      </c>
      <c r="I342" s="254"/>
      <c r="J342" s="255"/>
      <c r="K342" s="254"/>
      <c r="L342" s="253"/>
      <c r="M342" s="253"/>
      <c r="N342" s="255"/>
      <c r="O342" s="635">
        <f t="shared" si="100"/>
        <v>0</v>
      </c>
      <c r="P342" s="254"/>
      <c r="Q342" s="253"/>
      <c r="R342" s="253"/>
      <c r="S342" s="254"/>
      <c r="T342" s="253"/>
      <c r="U342" s="253"/>
    </row>
    <row r="343" spans="1:21" ht="15.75">
      <c r="A343" s="698"/>
      <c r="B343" s="698"/>
      <c r="C343" s="698"/>
      <c r="D343" s="698"/>
      <c r="E343" s="698"/>
      <c r="F343" s="698"/>
      <c r="G343" s="698"/>
      <c r="H343" s="216" t="s">
        <v>147</v>
      </c>
      <c r="I343" s="254"/>
      <c r="J343" s="255"/>
      <c r="K343" s="254"/>
      <c r="L343" s="253"/>
      <c r="M343" s="253"/>
      <c r="N343" s="255"/>
      <c r="O343" s="635">
        <f t="shared" si="100"/>
        <v>0</v>
      </c>
      <c r="P343" s="254"/>
      <c r="Q343" s="253"/>
      <c r="R343" s="253"/>
      <c r="S343" s="254"/>
      <c r="T343" s="253"/>
      <c r="U343" s="253"/>
    </row>
    <row r="344" spans="1:21" ht="15.75">
      <c r="A344" s="698"/>
      <c r="B344" s="698"/>
      <c r="C344" s="698"/>
      <c r="D344" s="698"/>
      <c r="E344" s="698"/>
      <c r="F344" s="698"/>
      <c r="G344" s="698"/>
      <c r="H344" s="216" t="s">
        <v>148</v>
      </c>
      <c r="I344" s="254"/>
      <c r="J344" s="255"/>
      <c r="K344" s="254"/>
      <c r="L344" s="253"/>
      <c r="M344" s="253"/>
      <c r="N344" s="255"/>
      <c r="O344" s="635">
        <f t="shared" si="100"/>
        <v>0</v>
      </c>
      <c r="P344" s="254"/>
      <c r="Q344" s="253"/>
      <c r="R344" s="253"/>
      <c r="S344" s="254"/>
      <c r="T344" s="253"/>
      <c r="U344" s="253"/>
    </row>
    <row r="345" spans="1:21" ht="15.75">
      <c r="A345" s="698"/>
      <c r="B345" s="698"/>
      <c r="C345" s="698"/>
      <c r="D345" s="698"/>
      <c r="E345" s="698"/>
      <c r="F345" s="698"/>
      <c r="G345" s="698"/>
      <c r="H345" s="216" t="s">
        <v>5</v>
      </c>
      <c r="I345" s="254"/>
      <c r="J345" s="255"/>
      <c r="K345" s="254">
        <v>20.3</v>
      </c>
      <c r="L345" s="253">
        <v>20.3</v>
      </c>
      <c r="M345" s="253"/>
      <c r="N345" s="255"/>
      <c r="O345" s="635">
        <f t="shared" si="100"/>
        <v>20.3</v>
      </c>
      <c r="P345" s="254"/>
      <c r="Q345" s="253"/>
      <c r="R345" s="253"/>
      <c r="S345" s="254"/>
      <c r="T345" s="253"/>
      <c r="U345" s="253"/>
    </row>
    <row r="346" spans="1:21" ht="15.75">
      <c r="A346" s="698"/>
      <c r="B346" s="698"/>
      <c r="C346" s="698"/>
      <c r="D346" s="698"/>
      <c r="E346" s="698"/>
      <c r="F346" s="699"/>
      <c r="G346" s="699"/>
      <c r="H346" s="216" t="s">
        <v>149</v>
      </c>
      <c r="I346" s="254"/>
      <c r="J346" s="255"/>
      <c r="K346" s="254"/>
      <c r="L346" s="253"/>
      <c r="M346" s="253"/>
      <c r="N346" s="255"/>
      <c r="O346" s="635">
        <f t="shared" si="100"/>
        <v>0</v>
      </c>
      <c r="P346" s="254"/>
      <c r="Q346" s="253"/>
      <c r="R346" s="253"/>
      <c r="S346" s="254"/>
      <c r="T346" s="253"/>
      <c r="U346" s="253"/>
    </row>
    <row r="347" spans="1:21" ht="15.75">
      <c r="A347" s="698"/>
      <c r="B347" s="698"/>
      <c r="C347" s="698"/>
      <c r="D347" s="698"/>
      <c r="E347" s="699"/>
      <c r="F347" s="252" t="s">
        <v>273</v>
      </c>
      <c r="G347" s="251"/>
      <c r="H347" s="216" t="s">
        <v>8</v>
      </c>
      <c r="I347" s="250">
        <f t="shared" ref="I347:U347" si="101">SUM(I341:I346)</f>
        <v>0</v>
      </c>
      <c r="J347" s="250">
        <f t="shared" si="101"/>
        <v>0</v>
      </c>
      <c r="K347" s="250">
        <f t="shared" si="101"/>
        <v>20.3</v>
      </c>
      <c r="L347" s="250">
        <f t="shared" si="101"/>
        <v>20.3</v>
      </c>
      <c r="M347" s="250">
        <f t="shared" si="101"/>
        <v>0</v>
      </c>
      <c r="N347" s="250">
        <f t="shared" si="101"/>
        <v>0</v>
      </c>
      <c r="O347" s="636">
        <f t="shared" si="101"/>
        <v>20.3</v>
      </c>
      <c r="P347" s="250">
        <f t="shared" si="101"/>
        <v>0</v>
      </c>
      <c r="Q347" s="250">
        <f t="shared" si="101"/>
        <v>0</v>
      </c>
      <c r="R347" s="250">
        <f t="shared" si="101"/>
        <v>0</v>
      </c>
      <c r="S347" s="250">
        <f t="shared" si="101"/>
        <v>0</v>
      </c>
      <c r="T347" s="250">
        <f t="shared" si="101"/>
        <v>0</v>
      </c>
      <c r="U347" s="250">
        <f t="shared" si="101"/>
        <v>0</v>
      </c>
    </row>
    <row r="348" spans="1:21" ht="15.75">
      <c r="A348" s="698"/>
      <c r="B348" s="698"/>
      <c r="C348" s="698"/>
      <c r="D348" s="698"/>
      <c r="E348" s="700" t="s">
        <v>274</v>
      </c>
      <c r="F348" s="702" t="s">
        <v>275</v>
      </c>
      <c r="G348" s="697">
        <v>188714469</v>
      </c>
      <c r="H348" s="216" t="s">
        <v>145</v>
      </c>
      <c r="I348" s="254"/>
      <c r="J348" s="255"/>
      <c r="K348" s="254">
        <v>8</v>
      </c>
      <c r="L348" s="253"/>
      <c r="M348" s="253"/>
      <c r="N348" s="255"/>
      <c r="O348" s="635">
        <f t="shared" ref="O348:O353" si="102">I348+K348</f>
        <v>8</v>
      </c>
      <c r="P348" s="254"/>
      <c r="Q348" s="253"/>
      <c r="R348" s="253"/>
      <c r="S348" s="254"/>
      <c r="T348" s="253"/>
      <c r="U348" s="253"/>
    </row>
    <row r="349" spans="1:21" ht="15.75" customHeight="1">
      <c r="A349" s="698"/>
      <c r="B349" s="698"/>
      <c r="C349" s="698"/>
      <c r="D349" s="698"/>
      <c r="E349" s="698"/>
      <c r="F349" s="698"/>
      <c r="G349" s="698"/>
      <c r="H349" s="216" t="s">
        <v>146</v>
      </c>
      <c r="I349" s="254"/>
      <c r="J349" s="255"/>
      <c r="K349" s="254"/>
      <c r="L349" s="253"/>
      <c r="M349" s="253"/>
      <c r="N349" s="255"/>
      <c r="O349" s="635">
        <f t="shared" si="102"/>
        <v>0</v>
      </c>
      <c r="P349" s="254"/>
      <c r="Q349" s="253"/>
      <c r="R349" s="253"/>
      <c r="S349" s="254"/>
      <c r="T349" s="253"/>
      <c r="U349" s="253"/>
    </row>
    <row r="350" spans="1:21" ht="15.75">
      <c r="A350" s="698"/>
      <c r="B350" s="698"/>
      <c r="C350" s="698"/>
      <c r="D350" s="698"/>
      <c r="E350" s="698"/>
      <c r="F350" s="698"/>
      <c r="G350" s="698"/>
      <c r="H350" s="216" t="s">
        <v>147</v>
      </c>
      <c r="I350" s="254"/>
      <c r="J350" s="255"/>
      <c r="K350" s="254"/>
      <c r="L350" s="253"/>
      <c r="M350" s="253"/>
      <c r="N350" s="255"/>
      <c r="O350" s="635">
        <f t="shared" si="102"/>
        <v>0</v>
      </c>
      <c r="P350" s="254"/>
      <c r="Q350" s="253"/>
      <c r="R350" s="253"/>
      <c r="S350" s="254"/>
      <c r="T350" s="253"/>
      <c r="U350" s="253"/>
    </row>
    <row r="351" spans="1:21" ht="15.75">
      <c r="A351" s="698"/>
      <c r="B351" s="698"/>
      <c r="C351" s="698"/>
      <c r="D351" s="698"/>
      <c r="E351" s="698"/>
      <c r="F351" s="698"/>
      <c r="G351" s="698"/>
      <c r="H351" s="216" t="s">
        <v>148</v>
      </c>
      <c r="I351" s="254"/>
      <c r="J351" s="255"/>
      <c r="K351" s="254"/>
      <c r="L351" s="253"/>
      <c r="M351" s="253"/>
      <c r="N351" s="255"/>
      <c r="O351" s="635">
        <f t="shared" si="102"/>
        <v>0</v>
      </c>
      <c r="P351" s="254"/>
      <c r="Q351" s="253"/>
      <c r="R351" s="253"/>
      <c r="S351" s="254"/>
      <c r="T351" s="253"/>
      <c r="U351" s="253"/>
    </row>
    <row r="352" spans="1:21" ht="15.75">
      <c r="A352" s="698"/>
      <c r="B352" s="698"/>
      <c r="C352" s="698"/>
      <c r="D352" s="698"/>
      <c r="E352" s="698"/>
      <c r="F352" s="698"/>
      <c r="G352" s="698"/>
      <c r="H352" s="216" t="s">
        <v>5</v>
      </c>
      <c r="I352" s="254"/>
      <c r="J352" s="255"/>
      <c r="K352" s="254"/>
      <c r="L352" s="253"/>
      <c r="M352" s="253"/>
      <c r="N352" s="255"/>
      <c r="O352" s="635">
        <f t="shared" si="102"/>
        <v>0</v>
      </c>
      <c r="P352" s="254">
        <v>8</v>
      </c>
      <c r="Q352" s="253">
        <v>8</v>
      </c>
      <c r="R352" s="253"/>
      <c r="S352" s="254">
        <v>2.8</v>
      </c>
      <c r="T352" s="253">
        <v>2.8</v>
      </c>
      <c r="U352" s="253"/>
    </row>
    <row r="353" spans="1:21" ht="15.75">
      <c r="A353" s="698"/>
      <c r="B353" s="698"/>
      <c r="C353" s="698"/>
      <c r="D353" s="698"/>
      <c r="E353" s="698"/>
      <c r="F353" s="699"/>
      <c r="G353" s="699"/>
      <c r="H353" s="216" t="s">
        <v>149</v>
      </c>
      <c r="I353" s="254"/>
      <c r="J353" s="255"/>
      <c r="K353" s="254">
        <v>32</v>
      </c>
      <c r="L353" s="253"/>
      <c r="M353" s="253"/>
      <c r="N353" s="255">
        <v>10</v>
      </c>
      <c r="O353" s="635">
        <f t="shared" si="102"/>
        <v>32</v>
      </c>
      <c r="P353" s="254">
        <v>32</v>
      </c>
      <c r="Q353" s="253"/>
      <c r="R353" s="253"/>
      <c r="S353" s="254">
        <v>11.1</v>
      </c>
      <c r="T353" s="253"/>
      <c r="U353" s="253"/>
    </row>
    <row r="354" spans="1:21" ht="15.75">
      <c r="A354" s="698"/>
      <c r="B354" s="698"/>
      <c r="C354" s="698"/>
      <c r="D354" s="698"/>
      <c r="E354" s="699"/>
      <c r="F354" s="252" t="s">
        <v>276</v>
      </c>
      <c r="G354" s="251"/>
      <c r="H354" s="216" t="s">
        <v>8</v>
      </c>
      <c r="I354" s="250">
        <f t="shared" ref="I354:U354" si="103">SUM(I348:I353)</f>
        <v>0</v>
      </c>
      <c r="J354" s="250">
        <f t="shared" si="103"/>
        <v>0</v>
      </c>
      <c r="K354" s="250">
        <f t="shared" si="103"/>
        <v>40</v>
      </c>
      <c r="L354" s="250">
        <f t="shared" si="103"/>
        <v>0</v>
      </c>
      <c r="M354" s="250">
        <f t="shared" si="103"/>
        <v>0</v>
      </c>
      <c r="N354" s="250">
        <f t="shared" si="103"/>
        <v>10</v>
      </c>
      <c r="O354" s="636">
        <f t="shared" si="103"/>
        <v>40</v>
      </c>
      <c r="P354" s="250">
        <f t="shared" si="103"/>
        <v>40</v>
      </c>
      <c r="Q354" s="250">
        <f t="shared" si="103"/>
        <v>8</v>
      </c>
      <c r="R354" s="250">
        <f t="shared" si="103"/>
        <v>0</v>
      </c>
      <c r="S354" s="250">
        <f t="shared" si="103"/>
        <v>13.899999999999999</v>
      </c>
      <c r="T354" s="250">
        <f t="shared" si="103"/>
        <v>2.8</v>
      </c>
      <c r="U354" s="250">
        <f t="shared" si="103"/>
        <v>0</v>
      </c>
    </row>
    <row r="355" spans="1:21" ht="15.75">
      <c r="A355" s="698"/>
      <c r="B355" s="698"/>
      <c r="C355" s="698"/>
      <c r="D355" s="698"/>
      <c r="E355" s="700" t="s">
        <v>277</v>
      </c>
      <c r="F355" s="701" t="s">
        <v>278</v>
      </c>
      <c r="G355" s="697">
        <v>188714469</v>
      </c>
      <c r="H355" s="216" t="s">
        <v>145</v>
      </c>
      <c r="I355" s="254"/>
      <c r="J355" s="255"/>
      <c r="K355" s="256"/>
      <c r="L355" s="253"/>
      <c r="M355" s="253"/>
      <c r="N355" s="255"/>
      <c r="O355" s="635">
        <f t="shared" ref="O355:O360" si="104">I355+K355</f>
        <v>0</v>
      </c>
      <c r="P355" s="254"/>
      <c r="Q355" s="253"/>
      <c r="R355" s="253"/>
      <c r="S355" s="254"/>
      <c r="T355" s="253"/>
      <c r="U355" s="253"/>
    </row>
    <row r="356" spans="1:21" ht="15.75">
      <c r="A356" s="698"/>
      <c r="B356" s="698"/>
      <c r="C356" s="698"/>
      <c r="D356" s="698"/>
      <c r="E356" s="698"/>
      <c r="F356" s="698"/>
      <c r="G356" s="698"/>
      <c r="H356" s="216" t="s">
        <v>146</v>
      </c>
      <c r="I356" s="254"/>
      <c r="J356" s="255"/>
      <c r="K356" s="254"/>
      <c r="L356" s="253"/>
      <c r="M356" s="253"/>
      <c r="N356" s="255"/>
      <c r="O356" s="635">
        <f t="shared" si="104"/>
        <v>0</v>
      </c>
      <c r="P356" s="254"/>
      <c r="Q356" s="253"/>
      <c r="R356" s="253"/>
      <c r="S356" s="254"/>
      <c r="T356" s="253"/>
      <c r="U356" s="253"/>
    </row>
    <row r="357" spans="1:21" ht="15.75">
      <c r="A357" s="698"/>
      <c r="B357" s="698"/>
      <c r="C357" s="698"/>
      <c r="D357" s="698"/>
      <c r="E357" s="698"/>
      <c r="F357" s="698"/>
      <c r="G357" s="698"/>
      <c r="H357" s="216" t="s">
        <v>147</v>
      </c>
      <c r="I357" s="254"/>
      <c r="J357" s="255"/>
      <c r="K357" s="254"/>
      <c r="L357" s="253"/>
      <c r="M357" s="253"/>
      <c r="N357" s="255"/>
      <c r="O357" s="635">
        <f t="shared" si="104"/>
        <v>0</v>
      </c>
      <c r="P357" s="254"/>
      <c r="Q357" s="253"/>
      <c r="R357" s="253"/>
      <c r="S357" s="254"/>
      <c r="T357" s="253"/>
      <c r="U357" s="253"/>
    </row>
    <row r="358" spans="1:21" ht="15.75">
      <c r="A358" s="698"/>
      <c r="B358" s="698"/>
      <c r="C358" s="698"/>
      <c r="D358" s="698"/>
      <c r="E358" s="698"/>
      <c r="F358" s="698"/>
      <c r="G358" s="698"/>
      <c r="H358" s="216" t="s">
        <v>148</v>
      </c>
      <c r="I358" s="254"/>
      <c r="J358" s="255"/>
      <c r="K358" s="254"/>
      <c r="L358" s="253"/>
      <c r="M358" s="253"/>
      <c r="N358" s="255"/>
      <c r="O358" s="635">
        <f t="shared" si="104"/>
        <v>0</v>
      </c>
      <c r="P358" s="254"/>
      <c r="Q358" s="253"/>
      <c r="R358" s="253"/>
      <c r="S358" s="254"/>
      <c r="T358" s="253"/>
      <c r="U358" s="253"/>
    </row>
    <row r="359" spans="1:21" ht="15.75">
      <c r="A359" s="698"/>
      <c r="B359" s="698"/>
      <c r="C359" s="698"/>
      <c r="D359" s="698"/>
      <c r="E359" s="698"/>
      <c r="F359" s="698"/>
      <c r="G359" s="698"/>
      <c r="H359" s="216" t="s">
        <v>5</v>
      </c>
      <c r="I359" s="254"/>
      <c r="J359" s="255"/>
      <c r="K359" s="256">
        <v>62.2</v>
      </c>
      <c r="L359" s="257">
        <v>62.2</v>
      </c>
      <c r="M359" s="253"/>
      <c r="N359" s="255"/>
      <c r="O359" s="635">
        <f t="shared" si="104"/>
        <v>62.2</v>
      </c>
      <c r="P359" s="254"/>
      <c r="Q359" s="253"/>
      <c r="R359" s="253"/>
      <c r="S359" s="254"/>
      <c r="T359" s="253"/>
      <c r="U359" s="253"/>
    </row>
    <row r="360" spans="1:21" ht="15.75">
      <c r="A360" s="698"/>
      <c r="B360" s="698"/>
      <c r="C360" s="698"/>
      <c r="D360" s="698"/>
      <c r="E360" s="698"/>
      <c r="F360" s="699"/>
      <c r="G360" s="699"/>
      <c r="H360" s="216" t="s">
        <v>149</v>
      </c>
      <c r="I360" s="254"/>
      <c r="J360" s="255"/>
      <c r="K360" s="254"/>
      <c r="L360" s="253"/>
      <c r="M360" s="253"/>
      <c r="N360" s="255"/>
      <c r="O360" s="635">
        <f t="shared" si="104"/>
        <v>0</v>
      </c>
      <c r="P360" s="254"/>
      <c r="Q360" s="253"/>
      <c r="R360" s="253"/>
      <c r="S360" s="254"/>
      <c r="T360" s="253"/>
      <c r="U360" s="253"/>
    </row>
    <row r="361" spans="1:21" ht="15.75">
      <c r="A361" s="698"/>
      <c r="B361" s="698"/>
      <c r="C361" s="698"/>
      <c r="D361" s="698"/>
      <c r="E361" s="699"/>
      <c r="F361" s="252"/>
      <c r="G361" s="251"/>
      <c r="H361" s="216" t="s">
        <v>8</v>
      </c>
      <c r="I361" s="250">
        <f t="shared" ref="I361:U361" si="105">SUM(I355:I360)</f>
        <v>0</v>
      </c>
      <c r="J361" s="250">
        <f t="shared" si="105"/>
        <v>0</v>
      </c>
      <c r="K361" s="250">
        <f t="shared" si="105"/>
        <v>62.2</v>
      </c>
      <c r="L361" s="250">
        <f t="shared" si="105"/>
        <v>62.2</v>
      </c>
      <c r="M361" s="250">
        <f t="shared" si="105"/>
        <v>0</v>
      </c>
      <c r="N361" s="250">
        <f t="shared" si="105"/>
        <v>0</v>
      </c>
      <c r="O361" s="636">
        <f t="shared" si="105"/>
        <v>62.2</v>
      </c>
      <c r="P361" s="250">
        <f t="shared" si="105"/>
        <v>0</v>
      </c>
      <c r="Q361" s="250">
        <f t="shared" si="105"/>
        <v>0</v>
      </c>
      <c r="R361" s="250">
        <f t="shared" si="105"/>
        <v>0</v>
      </c>
      <c r="S361" s="250">
        <f t="shared" si="105"/>
        <v>0</v>
      </c>
      <c r="T361" s="250">
        <f t="shared" si="105"/>
        <v>0</v>
      </c>
      <c r="U361" s="250">
        <f t="shared" si="105"/>
        <v>0</v>
      </c>
    </row>
    <row r="362" spans="1:21" ht="15.75">
      <c r="A362" s="698"/>
      <c r="B362" s="698"/>
      <c r="C362" s="698"/>
      <c r="D362" s="698"/>
      <c r="E362" s="700" t="s">
        <v>279</v>
      </c>
      <c r="F362" s="701" t="s">
        <v>280</v>
      </c>
      <c r="G362" s="697">
        <v>188714469</v>
      </c>
      <c r="H362" s="216" t="s">
        <v>145</v>
      </c>
      <c r="I362" s="254"/>
      <c r="J362" s="255"/>
      <c r="K362" s="256"/>
      <c r="L362" s="253"/>
      <c r="M362" s="253"/>
      <c r="N362" s="255"/>
      <c r="O362" s="635">
        <f t="shared" ref="O362:O367" si="106">I362+K362</f>
        <v>0</v>
      </c>
      <c r="P362" s="254"/>
      <c r="Q362" s="253"/>
      <c r="R362" s="253"/>
      <c r="S362" s="254"/>
      <c r="T362" s="253"/>
      <c r="U362" s="253"/>
    </row>
    <row r="363" spans="1:21" ht="15.75">
      <c r="A363" s="698"/>
      <c r="B363" s="698"/>
      <c r="C363" s="698"/>
      <c r="D363" s="698"/>
      <c r="E363" s="698"/>
      <c r="F363" s="698"/>
      <c r="G363" s="698"/>
      <c r="H363" s="216" t="s">
        <v>146</v>
      </c>
      <c r="I363" s="254"/>
      <c r="J363" s="255"/>
      <c r="K363" s="254"/>
      <c r="L363" s="253"/>
      <c r="M363" s="253"/>
      <c r="N363" s="255"/>
      <c r="O363" s="635">
        <f t="shared" si="106"/>
        <v>0</v>
      </c>
      <c r="P363" s="254"/>
      <c r="Q363" s="253"/>
      <c r="R363" s="253"/>
      <c r="S363" s="254"/>
      <c r="T363" s="253"/>
      <c r="U363" s="253"/>
    </row>
    <row r="364" spans="1:21" ht="15.75">
      <c r="A364" s="698"/>
      <c r="B364" s="698"/>
      <c r="C364" s="698"/>
      <c r="D364" s="698"/>
      <c r="E364" s="698"/>
      <c r="F364" s="698"/>
      <c r="G364" s="698"/>
      <c r="H364" s="216" t="s">
        <v>147</v>
      </c>
      <c r="I364" s="254"/>
      <c r="J364" s="255"/>
      <c r="K364" s="254"/>
      <c r="L364" s="253"/>
      <c r="M364" s="253"/>
      <c r="N364" s="255"/>
      <c r="O364" s="635">
        <f t="shared" si="106"/>
        <v>0</v>
      </c>
      <c r="P364" s="254"/>
      <c r="Q364" s="253"/>
      <c r="R364" s="253"/>
      <c r="S364" s="254"/>
      <c r="T364" s="253"/>
      <c r="U364" s="253"/>
    </row>
    <row r="365" spans="1:21" ht="15.75">
      <c r="A365" s="698"/>
      <c r="B365" s="698"/>
      <c r="C365" s="698"/>
      <c r="D365" s="698"/>
      <c r="E365" s="698"/>
      <c r="F365" s="698"/>
      <c r="G365" s="698"/>
      <c r="H365" s="216" t="s">
        <v>148</v>
      </c>
      <c r="I365" s="254"/>
      <c r="J365" s="255"/>
      <c r="K365" s="254"/>
      <c r="L365" s="253"/>
      <c r="M365" s="253"/>
      <c r="N365" s="255"/>
      <c r="O365" s="635">
        <f t="shared" si="106"/>
        <v>0</v>
      </c>
      <c r="P365" s="254"/>
      <c r="Q365" s="253"/>
      <c r="R365" s="253"/>
      <c r="S365" s="254"/>
      <c r="T365" s="253"/>
      <c r="U365" s="253"/>
    </row>
    <row r="366" spans="1:21" ht="15.75">
      <c r="A366" s="698"/>
      <c r="B366" s="698"/>
      <c r="C366" s="698"/>
      <c r="D366" s="698"/>
      <c r="E366" s="698"/>
      <c r="F366" s="698"/>
      <c r="G366" s="698"/>
      <c r="H366" s="216" t="s">
        <v>5</v>
      </c>
      <c r="I366" s="254"/>
      <c r="J366" s="255"/>
      <c r="K366" s="256">
        <v>41.9</v>
      </c>
      <c r="L366" s="257">
        <v>41.9</v>
      </c>
      <c r="M366" s="253"/>
      <c r="N366" s="255"/>
      <c r="O366" s="635">
        <f t="shared" si="106"/>
        <v>41.9</v>
      </c>
      <c r="P366" s="254"/>
      <c r="Q366" s="253"/>
      <c r="R366" s="253"/>
      <c r="S366" s="254"/>
      <c r="T366" s="253"/>
      <c r="U366" s="253"/>
    </row>
    <row r="367" spans="1:21" ht="15.75">
      <c r="A367" s="698"/>
      <c r="B367" s="698"/>
      <c r="C367" s="698"/>
      <c r="D367" s="698"/>
      <c r="E367" s="698"/>
      <c r="F367" s="699"/>
      <c r="G367" s="699"/>
      <c r="H367" s="216" t="s">
        <v>149</v>
      </c>
      <c r="I367" s="254"/>
      <c r="J367" s="255"/>
      <c r="K367" s="254"/>
      <c r="L367" s="253"/>
      <c r="M367" s="253"/>
      <c r="N367" s="255"/>
      <c r="O367" s="635">
        <f t="shared" si="106"/>
        <v>0</v>
      </c>
      <c r="P367" s="254"/>
      <c r="Q367" s="253"/>
      <c r="R367" s="253"/>
      <c r="S367" s="254"/>
      <c r="T367" s="253"/>
      <c r="U367" s="253"/>
    </row>
    <row r="368" spans="1:21" ht="15.75">
      <c r="A368" s="698"/>
      <c r="B368" s="698"/>
      <c r="C368" s="698"/>
      <c r="D368" s="698"/>
      <c r="E368" s="699"/>
      <c r="F368" s="252"/>
      <c r="G368" s="251"/>
      <c r="H368" s="216" t="s">
        <v>8</v>
      </c>
      <c r="I368" s="250">
        <f t="shared" ref="I368:U368" si="107">SUM(I362:I367)</f>
        <v>0</v>
      </c>
      <c r="J368" s="250">
        <f t="shared" si="107"/>
        <v>0</v>
      </c>
      <c r="K368" s="250">
        <f t="shared" si="107"/>
        <v>41.9</v>
      </c>
      <c r="L368" s="250">
        <f t="shared" si="107"/>
        <v>41.9</v>
      </c>
      <c r="M368" s="250">
        <f t="shared" si="107"/>
        <v>0</v>
      </c>
      <c r="N368" s="250">
        <f t="shared" si="107"/>
        <v>0</v>
      </c>
      <c r="O368" s="636">
        <f t="shared" si="107"/>
        <v>41.9</v>
      </c>
      <c r="P368" s="250">
        <f t="shared" si="107"/>
        <v>0</v>
      </c>
      <c r="Q368" s="250">
        <f t="shared" si="107"/>
        <v>0</v>
      </c>
      <c r="R368" s="250">
        <f t="shared" si="107"/>
        <v>0</v>
      </c>
      <c r="S368" s="250">
        <f t="shared" si="107"/>
        <v>0</v>
      </c>
      <c r="T368" s="250">
        <f t="shared" si="107"/>
        <v>0</v>
      </c>
      <c r="U368" s="250">
        <f t="shared" si="107"/>
        <v>0</v>
      </c>
    </row>
    <row r="369" spans="1:21" ht="15.75">
      <c r="A369" s="698"/>
      <c r="B369" s="698"/>
      <c r="C369" s="698"/>
      <c r="D369" s="698"/>
      <c r="E369" s="700" t="s">
        <v>281</v>
      </c>
      <c r="F369" s="701" t="s">
        <v>282</v>
      </c>
      <c r="G369" s="697">
        <v>188714469</v>
      </c>
      <c r="H369" s="216" t="s">
        <v>145</v>
      </c>
      <c r="I369" s="254"/>
      <c r="J369" s="255"/>
      <c r="K369" s="256"/>
      <c r="L369" s="253"/>
      <c r="M369" s="253"/>
      <c r="N369" s="255"/>
      <c r="O369" s="635">
        <f t="shared" ref="O369:O374" si="108">I369+K369</f>
        <v>0</v>
      </c>
      <c r="P369" s="254"/>
      <c r="Q369" s="253"/>
      <c r="R369" s="253"/>
      <c r="S369" s="254"/>
      <c r="T369" s="253"/>
      <c r="U369" s="253"/>
    </row>
    <row r="370" spans="1:21" ht="15.75">
      <c r="A370" s="698"/>
      <c r="B370" s="698"/>
      <c r="C370" s="698"/>
      <c r="D370" s="698"/>
      <c r="E370" s="698"/>
      <c r="F370" s="698"/>
      <c r="G370" s="698"/>
      <c r="H370" s="216" t="s">
        <v>146</v>
      </c>
      <c r="I370" s="254"/>
      <c r="J370" s="255"/>
      <c r="K370" s="254"/>
      <c r="L370" s="253"/>
      <c r="M370" s="253"/>
      <c r="N370" s="255"/>
      <c r="O370" s="635">
        <f t="shared" si="108"/>
        <v>0</v>
      </c>
      <c r="P370" s="254"/>
      <c r="Q370" s="253"/>
      <c r="R370" s="253"/>
      <c r="S370" s="254"/>
      <c r="T370" s="253"/>
      <c r="U370" s="253"/>
    </row>
    <row r="371" spans="1:21" ht="15.75">
      <c r="A371" s="698"/>
      <c r="B371" s="698"/>
      <c r="C371" s="698"/>
      <c r="D371" s="698"/>
      <c r="E371" s="698"/>
      <c r="F371" s="698"/>
      <c r="G371" s="698"/>
      <c r="H371" s="216" t="s">
        <v>147</v>
      </c>
      <c r="I371" s="254"/>
      <c r="J371" s="255"/>
      <c r="K371" s="254"/>
      <c r="L371" s="253"/>
      <c r="M371" s="253"/>
      <c r="N371" s="255"/>
      <c r="O371" s="635">
        <f t="shared" si="108"/>
        <v>0</v>
      </c>
      <c r="P371" s="254"/>
      <c r="Q371" s="253"/>
      <c r="R371" s="253"/>
      <c r="S371" s="254"/>
      <c r="T371" s="253"/>
      <c r="U371" s="253"/>
    </row>
    <row r="372" spans="1:21" ht="15.75">
      <c r="A372" s="698"/>
      <c r="B372" s="698"/>
      <c r="C372" s="698"/>
      <c r="D372" s="698"/>
      <c r="E372" s="698"/>
      <c r="F372" s="698"/>
      <c r="G372" s="698"/>
      <c r="H372" s="216" t="s">
        <v>148</v>
      </c>
      <c r="I372" s="254"/>
      <c r="J372" s="255"/>
      <c r="K372" s="254"/>
      <c r="L372" s="253"/>
      <c r="M372" s="253"/>
      <c r="N372" s="255"/>
      <c r="O372" s="635">
        <f t="shared" si="108"/>
        <v>0</v>
      </c>
      <c r="P372" s="254"/>
      <c r="Q372" s="253"/>
      <c r="R372" s="253"/>
      <c r="S372" s="254"/>
      <c r="T372" s="253"/>
      <c r="U372" s="253"/>
    </row>
    <row r="373" spans="1:21" ht="15.75">
      <c r="A373" s="698"/>
      <c r="B373" s="698"/>
      <c r="C373" s="698"/>
      <c r="D373" s="698"/>
      <c r="E373" s="698"/>
      <c r="F373" s="698"/>
      <c r="G373" s="698"/>
      <c r="H373" s="216" t="s">
        <v>5</v>
      </c>
      <c r="I373" s="254"/>
      <c r="J373" s="255"/>
      <c r="K373" s="256">
        <v>31.8</v>
      </c>
      <c r="L373" s="257">
        <v>31.8</v>
      </c>
      <c r="M373" s="253"/>
      <c r="N373" s="255"/>
      <c r="O373" s="635">
        <f t="shared" si="108"/>
        <v>31.8</v>
      </c>
      <c r="P373" s="254"/>
      <c r="Q373" s="253"/>
      <c r="R373" s="253"/>
      <c r="S373" s="254"/>
      <c r="T373" s="253"/>
      <c r="U373" s="253"/>
    </row>
    <row r="374" spans="1:21" ht="15.75">
      <c r="A374" s="698"/>
      <c r="B374" s="698"/>
      <c r="C374" s="698"/>
      <c r="D374" s="698"/>
      <c r="E374" s="698"/>
      <c r="F374" s="699"/>
      <c r="G374" s="699"/>
      <c r="H374" s="216" t="s">
        <v>149</v>
      </c>
      <c r="I374" s="254"/>
      <c r="J374" s="255"/>
      <c r="K374" s="254"/>
      <c r="L374" s="253"/>
      <c r="M374" s="253"/>
      <c r="N374" s="255"/>
      <c r="O374" s="635">
        <f t="shared" si="108"/>
        <v>0</v>
      </c>
      <c r="P374" s="254"/>
      <c r="Q374" s="253"/>
      <c r="R374" s="253"/>
      <c r="S374" s="254"/>
      <c r="T374" s="253"/>
      <c r="U374" s="253"/>
    </row>
    <row r="375" spans="1:21" ht="15.75">
      <c r="A375" s="698"/>
      <c r="B375" s="698"/>
      <c r="C375" s="698"/>
      <c r="D375" s="698"/>
      <c r="E375" s="699"/>
      <c r="F375" s="252"/>
      <c r="G375" s="251"/>
      <c r="H375" s="216" t="s">
        <v>8</v>
      </c>
      <c r="I375" s="250">
        <f t="shared" ref="I375:U375" si="109">SUM(I369:I374)</f>
        <v>0</v>
      </c>
      <c r="J375" s="250">
        <f t="shared" si="109"/>
        <v>0</v>
      </c>
      <c r="K375" s="250">
        <f t="shared" si="109"/>
        <v>31.8</v>
      </c>
      <c r="L375" s="250">
        <f t="shared" si="109"/>
        <v>31.8</v>
      </c>
      <c r="M375" s="250">
        <f t="shared" si="109"/>
        <v>0</v>
      </c>
      <c r="N375" s="250">
        <f t="shared" si="109"/>
        <v>0</v>
      </c>
      <c r="O375" s="636">
        <f t="shared" si="109"/>
        <v>31.8</v>
      </c>
      <c r="P375" s="250">
        <f t="shared" si="109"/>
        <v>0</v>
      </c>
      <c r="Q375" s="250">
        <f t="shared" si="109"/>
        <v>0</v>
      </c>
      <c r="R375" s="250">
        <f t="shared" si="109"/>
        <v>0</v>
      </c>
      <c r="S375" s="250">
        <f t="shared" si="109"/>
        <v>0</v>
      </c>
      <c r="T375" s="250">
        <f t="shared" si="109"/>
        <v>0</v>
      </c>
      <c r="U375" s="250">
        <f t="shared" si="109"/>
        <v>0</v>
      </c>
    </row>
    <row r="376" spans="1:21" ht="15.75">
      <c r="A376" s="698"/>
      <c r="B376" s="698"/>
      <c r="C376" s="698"/>
      <c r="D376" s="698"/>
      <c r="E376" s="700" t="s">
        <v>283</v>
      </c>
      <c r="F376" s="701" t="s">
        <v>284</v>
      </c>
      <c r="G376" s="697">
        <v>188714469</v>
      </c>
      <c r="H376" s="216" t="s">
        <v>145</v>
      </c>
      <c r="I376" s="254"/>
      <c r="J376" s="255"/>
      <c r="K376" s="256"/>
      <c r="L376" s="253"/>
      <c r="M376" s="253"/>
      <c r="N376" s="255"/>
      <c r="O376" s="635">
        <f t="shared" ref="O376:O381" si="110">I376+K376</f>
        <v>0</v>
      </c>
      <c r="P376" s="254"/>
      <c r="Q376" s="253"/>
      <c r="R376" s="253"/>
      <c r="S376" s="254"/>
      <c r="T376" s="253"/>
      <c r="U376" s="253"/>
    </row>
    <row r="377" spans="1:21" ht="15.75">
      <c r="A377" s="698"/>
      <c r="B377" s="698"/>
      <c r="C377" s="698"/>
      <c r="D377" s="698"/>
      <c r="E377" s="698"/>
      <c r="F377" s="698"/>
      <c r="G377" s="698"/>
      <c r="H377" s="216" t="s">
        <v>146</v>
      </c>
      <c r="I377" s="254"/>
      <c r="J377" s="255"/>
      <c r="K377" s="254"/>
      <c r="L377" s="253"/>
      <c r="M377" s="253"/>
      <c r="N377" s="255"/>
      <c r="O377" s="635">
        <f t="shared" si="110"/>
        <v>0</v>
      </c>
      <c r="P377" s="254"/>
      <c r="Q377" s="253"/>
      <c r="R377" s="253"/>
      <c r="S377" s="254"/>
      <c r="T377" s="253"/>
      <c r="U377" s="253"/>
    </row>
    <row r="378" spans="1:21" ht="15.75">
      <c r="A378" s="698"/>
      <c r="B378" s="698"/>
      <c r="C378" s="698"/>
      <c r="D378" s="698"/>
      <c r="E378" s="698"/>
      <c r="F378" s="698"/>
      <c r="G378" s="698"/>
      <c r="H378" s="216" t="s">
        <v>147</v>
      </c>
      <c r="I378" s="254"/>
      <c r="J378" s="255"/>
      <c r="K378" s="254"/>
      <c r="L378" s="253"/>
      <c r="M378" s="253"/>
      <c r="N378" s="255"/>
      <c r="O378" s="635">
        <f t="shared" si="110"/>
        <v>0</v>
      </c>
      <c r="P378" s="254"/>
      <c r="Q378" s="253"/>
      <c r="R378" s="253"/>
      <c r="S378" s="254"/>
      <c r="T378" s="253"/>
      <c r="U378" s="253"/>
    </row>
    <row r="379" spans="1:21" ht="15.75">
      <c r="A379" s="698"/>
      <c r="B379" s="698"/>
      <c r="C379" s="698"/>
      <c r="D379" s="698"/>
      <c r="E379" s="698"/>
      <c r="F379" s="698"/>
      <c r="G379" s="698"/>
      <c r="H379" s="216" t="s">
        <v>148</v>
      </c>
      <c r="I379" s="254"/>
      <c r="J379" s="255"/>
      <c r="K379" s="254"/>
      <c r="L379" s="253"/>
      <c r="M379" s="253"/>
      <c r="N379" s="255"/>
      <c r="O379" s="635">
        <f t="shared" si="110"/>
        <v>0</v>
      </c>
      <c r="P379" s="254"/>
      <c r="Q379" s="253"/>
      <c r="R379" s="253"/>
      <c r="S379" s="254"/>
      <c r="T379" s="253"/>
      <c r="U379" s="253"/>
    </row>
    <row r="380" spans="1:21" ht="15.75">
      <c r="A380" s="698"/>
      <c r="B380" s="698"/>
      <c r="C380" s="698"/>
      <c r="D380" s="698"/>
      <c r="E380" s="698"/>
      <c r="F380" s="698"/>
      <c r="G380" s="698"/>
      <c r="H380" s="216" t="s">
        <v>5</v>
      </c>
      <c r="I380" s="254"/>
      <c r="J380" s="255"/>
      <c r="K380" s="254">
        <v>154.9</v>
      </c>
      <c r="L380" s="253"/>
      <c r="M380" s="253">
        <v>154.9</v>
      </c>
      <c r="N380" s="255"/>
      <c r="O380" s="635">
        <f t="shared" si="110"/>
        <v>154.9</v>
      </c>
      <c r="P380" s="254"/>
      <c r="Q380" s="253"/>
      <c r="R380" s="253"/>
      <c r="S380" s="254"/>
      <c r="T380" s="253"/>
      <c r="U380" s="253"/>
    </row>
    <row r="381" spans="1:21" ht="15.75">
      <c r="A381" s="698"/>
      <c r="B381" s="698"/>
      <c r="C381" s="698"/>
      <c r="D381" s="698"/>
      <c r="E381" s="698"/>
      <c r="F381" s="699"/>
      <c r="G381" s="699"/>
      <c r="H381" s="216" t="s">
        <v>149</v>
      </c>
      <c r="I381" s="254"/>
      <c r="J381" s="255"/>
      <c r="K381" s="254"/>
      <c r="L381" s="253"/>
      <c r="M381" s="253"/>
      <c r="N381" s="255"/>
      <c r="O381" s="635">
        <f t="shared" si="110"/>
        <v>0</v>
      </c>
      <c r="P381" s="254"/>
      <c r="Q381" s="253"/>
      <c r="R381" s="253"/>
      <c r="S381" s="254"/>
      <c r="T381" s="253"/>
      <c r="U381" s="253"/>
    </row>
    <row r="382" spans="1:21" ht="15.75">
      <c r="A382" s="698"/>
      <c r="B382" s="698"/>
      <c r="C382" s="698"/>
      <c r="D382" s="698"/>
      <c r="E382" s="699"/>
      <c r="F382" s="252"/>
      <c r="G382" s="251"/>
      <c r="H382" s="216" t="s">
        <v>8</v>
      </c>
      <c r="I382" s="250">
        <f t="shared" ref="I382:U382" si="111">SUM(I376:I381)</f>
        <v>0</v>
      </c>
      <c r="J382" s="250">
        <f t="shared" si="111"/>
        <v>0</v>
      </c>
      <c r="K382" s="250">
        <f t="shared" si="111"/>
        <v>154.9</v>
      </c>
      <c r="L382" s="250">
        <f t="shared" si="111"/>
        <v>0</v>
      </c>
      <c r="M382" s="250">
        <f t="shared" si="111"/>
        <v>154.9</v>
      </c>
      <c r="N382" s="250">
        <f t="shared" si="111"/>
        <v>0</v>
      </c>
      <c r="O382" s="636">
        <f t="shared" si="111"/>
        <v>154.9</v>
      </c>
      <c r="P382" s="250">
        <f t="shared" si="111"/>
        <v>0</v>
      </c>
      <c r="Q382" s="250">
        <f t="shared" si="111"/>
        <v>0</v>
      </c>
      <c r="R382" s="250">
        <f t="shared" si="111"/>
        <v>0</v>
      </c>
      <c r="S382" s="250">
        <f t="shared" si="111"/>
        <v>0</v>
      </c>
      <c r="T382" s="250">
        <f t="shared" si="111"/>
        <v>0</v>
      </c>
      <c r="U382" s="250">
        <f t="shared" si="111"/>
        <v>0</v>
      </c>
    </row>
    <row r="383" spans="1:21" ht="15.75">
      <c r="A383" s="698"/>
      <c r="B383" s="698"/>
      <c r="C383" s="698"/>
      <c r="D383" s="698"/>
      <c r="E383" s="700" t="s">
        <v>285</v>
      </c>
      <c r="F383" s="702" t="s">
        <v>497</v>
      </c>
      <c r="G383" s="697">
        <v>188714469</v>
      </c>
      <c r="H383" s="216" t="s">
        <v>145</v>
      </c>
      <c r="I383" s="254"/>
      <c r="J383" s="255"/>
      <c r="K383" s="254">
        <v>1</v>
      </c>
      <c r="L383" s="253"/>
      <c r="M383" s="253"/>
      <c r="N383" s="255"/>
      <c r="O383" s="635">
        <f t="shared" ref="O383:O388" si="112">I383+K383</f>
        <v>1</v>
      </c>
      <c r="P383" s="254"/>
      <c r="Q383" s="253"/>
      <c r="R383" s="253"/>
      <c r="S383" s="254"/>
      <c r="T383" s="253"/>
      <c r="U383" s="253"/>
    </row>
    <row r="384" spans="1:21" ht="15.75">
      <c r="A384" s="698"/>
      <c r="B384" s="698"/>
      <c r="C384" s="698"/>
      <c r="D384" s="698"/>
      <c r="E384" s="698"/>
      <c r="F384" s="698"/>
      <c r="G384" s="698"/>
      <c r="H384" s="216" t="s">
        <v>146</v>
      </c>
      <c r="I384" s="254"/>
      <c r="J384" s="255"/>
      <c r="K384" s="254"/>
      <c r="L384" s="253"/>
      <c r="M384" s="253"/>
      <c r="N384" s="255"/>
      <c r="O384" s="635">
        <f t="shared" si="112"/>
        <v>0</v>
      </c>
      <c r="P384" s="254"/>
      <c r="Q384" s="253"/>
      <c r="R384" s="253"/>
      <c r="S384" s="254"/>
      <c r="T384" s="253"/>
      <c r="U384" s="253"/>
    </row>
    <row r="385" spans="1:21" ht="15.75">
      <c r="A385" s="698"/>
      <c r="B385" s="698"/>
      <c r="C385" s="698"/>
      <c r="D385" s="698"/>
      <c r="E385" s="698"/>
      <c r="F385" s="698"/>
      <c r="G385" s="698"/>
      <c r="H385" s="216" t="s">
        <v>147</v>
      </c>
      <c r="I385" s="254"/>
      <c r="J385" s="255"/>
      <c r="K385" s="254"/>
      <c r="L385" s="253"/>
      <c r="M385" s="253"/>
      <c r="N385" s="255"/>
      <c r="O385" s="635">
        <f t="shared" si="112"/>
        <v>0</v>
      </c>
      <c r="P385" s="254"/>
      <c r="Q385" s="253"/>
      <c r="R385" s="253"/>
      <c r="S385" s="254"/>
      <c r="T385" s="253"/>
      <c r="U385" s="253"/>
    </row>
    <row r="386" spans="1:21" ht="15.75">
      <c r="A386" s="698"/>
      <c r="B386" s="698"/>
      <c r="C386" s="698"/>
      <c r="D386" s="698"/>
      <c r="E386" s="698"/>
      <c r="F386" s="698"/>
      <c r="G386" s="698"/>
      <c r="H386" s="216" t="s">
        <v>148</v>
      </c>
      <c r="I386" s="254"/>
      <c r="J386" s="255"/>
      <c r="K386" s="254"/>
      <c r="L386" s="253"/>
      <c r="M386" s="253"/>
      <c r="N386" s="255"/>
      <c r="O386" s="635">
        <f t="shared" si="112"/>
        <v>0</v>
      </c>
      <c r="P386" s="254"/>
      <c r="Q386" s="253"/>
      <c r="R386" s="253"/>
      <c r="S386" s="254"/>
      <c r="T386" s="253"/>
      <c r="U386" s="253"/>
    </row>
    <row r="387" spans="1:21" ht="15.75">
      <c r="A387" s="698"/>
      <c r="B387" s="698"/>
      <c r="C387" s="698"/>
      <c r="D387" s="698"/>
      <c r="E387" s="698"/>
      <c r="F387" s="698"/>
      <c r="G387" s="698"/>
      <c r="H387" s="216" t="s">
        <v>5</v>
      </c>
      <c r="I387" s="254"/>
      <c r="J387" s="255"/>
      <c r="K387" s="254"/>
      <c r="L387" s="253"/>
      <c r="M387" s="253"/>
      <c r="N387" s="255"/>
      <c r="O387" s="635">
        <f t="shared" si="112"/>
        <v>0</v>
      </c>
      <c r="P387" s="254"/>
      <c r="Q387" s="253"/>
      <c r="R387" s="253"/>
      <c r="S387" s="254"/>
      <c r="T387" s="253"/>
      <c r="U387" s="253"/>
    </row>
    <row r="388" spans="1:21" ht="15.75">
      <c r="A388" s="698"/>
      <c r="B388" s="698"/>
      <c r="C388" s="698"/>
      <c r="D388" s="698"/>
      <c r="E388" s="698"/>
      <c r="F388" s="699"/>
      <c r="G388" s="699"/>
      <c r="H388" s="216" t="s">
        <v>149</v>
      </c>
      <c r="I388" s="254"/>
      <c r="J388" s="255"/>
      <c r="K388" s="254"/>
      <c r="L388" s="253"/>
      <c r="M388" s="253"/>
      <c r="N388" s="255"/>
      <c r="O388" s="635">
        <f t="shared" si="112"/>
        <v>0</v>
      </c>
      <c r="P388" s="254"/>
      <c r="Q388" s="253"/>
      <c r="R388" s="253"/>
      <c r="S388" s="254"/>
      <c r="T388" s="253"/>
      <c r="U388" s="253"/>
    </row>
    <row r="389" spans="1:21" ht="15.75">
      <c r="A389" s="698"/>
      <c r="B389" s="698"/>
      <c r="C389" s="698"/>
      <c r="D389" s="698"/>
      <c r="E389" s="699"/>
      <c r="F389" s="252"/>
      <c r="G389" s="251"/>
      <c r="H389" s="216" t="s">
        <v>8</v>
      </c>
      <c r="I389" s="250">
        <f t="shared" ref="I389:U389" si="113">SUM(I383:I388)</f>
        <v>0</v>
      </c>
      <c r="J389" s="250">
        <f t="shared" si="113"/>
        <v>0</v>
      </c>
      <c r="K389" s="250">
        <f t="shared" si="113"/>
        <v>1</v>
      </c>
      <c r="L389" s="250">
        <f t="shared" si="113"/>
        <v>0</v>
      </c>
      <c r="M389" s="250">
        <f t="shared" si="113"/>
        <v>0</v>
      </c>
      <c r="N389" s="250">
        <f t="shared" si="113"/>
        <v>0</v>
      </c>
      <c r="O389" s="636">
        <f t="shared" si="113"/>
        <v>1</v>
      </c>
      <c r="P389" s="250">
        <f t="shared" si="113"/>
        <v>0</v>
      </c>
      <c r="Q389" s="250">
        <f t="shared" si="113"/>
        <v>0</v>
      </c>
      <c r="R389" s="250">
        <f t="shared" si="113"/>
        <v>0</v>
      </c>
      <c r="S389" s="250">
        <f t="shared" si="113"/>
        <v>0</v>
      </c>
      <c r="T389" s="250">
        <f t="shared" si="113"/>
        <v>0</v>
      </c>
      <c r="U389" s="250">
        <f t="shared" si="113"/>
        <v>0</v>
      </c>
    </row>
    <row r="390" spans="1:21" ht="15.75">
      <c r="A390" s="698"/>
      <c r="B390" s="698"/>
      <c r="C390" s="698"/>
      <c r="D390" s="698"/>
      <c r="E390" s="700" t="s">
        <v>286</v>
      </c>
      <c r="F390" s="702" t="s">
        <v>287</v>
      </c>
      <c r="G390" s="697">
        <v>188714469</v>
      </c>
      <c r="H390" s="216" t="s">
        <v>145</v>
      </c>
      <c r="I390" s="254"/>
      <c r="J390" s="255"/>
      <c r="K390" s="254"/>
      <c r="L390" s="253"/>
      <c r="M390" s="253"/>
      <c r="N390" s="255"/>
      <c r="O390" s="635">
        <f t="shared" ref="O390:O395" si="114">I390+K390</f>
        <v>0</v>
      </c>
      <c r="P390" s="254">
        <v>500</v>
      </c>
      <c r="Q390" s="253"/>
      <c r="R390" s="253"/>
      <c r="S390" s="254">
        <v>516.29999999999995</v>
      </c>
      <c r="T390" s="253"/>
      <c r="U390" s="253"/>
    </row>
    <row r="391" spans="1:21" ht="15.75">
      <c r="A391" s="698"/>
      <c r="B391" s="698"/>
      <c r="C391" s="698"/>
      <c r="D391" s="698"/>
      <c r="E391" s="698"/>
      <c r="F391" s="698"/>
      <c r="G391" s="698"/>
      <c r="H391" s="216" t="s">
        <v>146</v>
      </c>
      <c r="I391" s="254"/>
      <c r="J391" s="255"/>
      <c r="K391" s="254"/>
      <c r="L391" s="253"/>
      <c r="M391" s="253"/>
      <c r="N391" s="255"/>
      <c r="O391" s="635">
        <f t="shared" si="114"/>
        <v>0</v>
      </c>
      <c r="P391" s="254">
        <v>100</v>
      </c>
      <c r="Q391" s="253"/>
      <c r="R391" s="253"/>
      <c r="S391" s="254">
        <v>200</v>
      </c>
      <c r="T391" s="253"/>
      <c r="U391" s="253"/>
    </row>
    <row r="392" spans="1:21" ht="15.75">
      <c r="A392" s="698"/>
      <c r="B392" s="698"/>
      <c r="C392" s="698"/>
      <c r="D392" s="698"/>
      <c r="E392" s="698"/>
      <c r="F392" s="698"/>
      <c r="G392" s="698"/>
      <c r="H392" s="216" t="s">
        <v>147</v>
      </c>
      <c r="I392" s="254"/>
      <c r="J392" s="255"/>
      <c r="K392" s="254"/>
      <c r="L392" s="253"/>
      <c r="M392" s="253"/>
      <c r="N392" s="255"/>
      <c r="O392" s="635">
        <f t="shared" si="114"/>
        <v>0</v>
      </c>
      <c r="P392" s="254"/>
      <c r="Q392" s="253"/>
      <c r="R392" s="253"/>
      <c r="S392" s="254"/>
      <c r="T392" s="253"/>
      <c r="U392" s="253"/>
    </row>
    <row r="393" spans="1:21" ht="15.75">
      <c r="A393" s="698"/>
      <c r="B393" s="698"/>
      <c r="C393" s="698"/>
      <c r="D393" s="698"/>
      <c r="E393" s="698"/>
      <c r="F393" s="698"/>
      <c r="G393" s="698"/>
      <c r="H393" s="216" t="s">
        <v>148</v>
      </c>
      <c r="I393" s="254"/>
      <c r="J393" s="255"/>
      <c r="K393" s="254"/>
      <c r="L393" s="253"/>
      <c r="M393" s="253"/>
      <c r="N393" s="255"/>
      <c r="O393" s="635">
        <f t="shared" si="114"/>
        <v>0</v>
      </c>
      <c r="P393" s="254"/>
      <c r="Q393" s="253"/>
      <c r="R393" s="253"/>
      <c r="S393" s="254"/>
      <c r="T393" s="253"/>
      <c r="U393" s="253"/>
    </row>
    <row r="394" spans="1:21" ht="15.75">
      <c r="A394" s="698"/>
      <c r="B394" s="698"/>
      <c r="C394" s="698"/>
      <c r="D394" s="698"/>
      <c r="E394" s="698"/>
      <c r="F394" s="698"/>
      <c r="G394" s="698"/>
      <c r="H394" s="216" t="s">
        <v>5</v>
      </c>
      <c r="I394" s="254"/>
      <c r="J394" s="255"/>
      <c r="K394" s="254"/>
      <c r="L394" s="253"/>
      <c r="M394" s="253"/>
      <c r="N394" s="255"/>
      <c r="O394" s="635">
        <f t="shared" si="114"/>
        <v>0</v>
      </c>
      <c r="P394" s="254">
        <v>2112</v>
      </c>
      <c r="Q394" s="253"/>
      <c r="R394" s="253">
        <v>2112</v>
      </c>
      <c r="S394" s="254">
        <v>2900</v>
      </c>
      <c r="T394" s="253"/>
      <c r="U394" s="253">
        <v>2900</v>
      </c>
    </row>
    <row r="395" spans="1:21" ht="15.75">
      <c r="A395" s="698"/>
      <c r="B395" s="698"/>
      <c r="C395" s="698"/>
      <c r="D395" s="698"/>
      <c r="E395" s="698"/>
      <c r="F395" s="699"/>
      <c r="G395" s="699"/>
      <c r="H395" s="216" t="s">
        <v>149</v>
      </c>
      <c r="I395" s="254"/>
      <c r="J395" s="255"/>
      <c r="K395" s="254"/>
      <c r="L395" s="253"/>
      <c r="M395" s="253"/>
      <c r="N395" s="255"/>
      <c r="O395" s="635">
        <f t="shared" si="114"/>
        <v>0</v>
      </c>
      <c r="P395" s="254"/>
      <c r="Q395" s="253"/>
      <c r="R395" s="253"/>
      <c r="S395" s="254"/>
      <c r="T395" s="253"/>
      <c r="U395" s="253"/>
    </row>
    <row r="396" spans="1:21" ht="15.75">
      <c r="A396" s="698"/>
      <c r="B396" s="698"/>
      <c r="C396" s="698"/>
      <c r="D396" s="698"/>
      <c r="E396" s="699"/>
      <c r="F396" s="252"/>
      <c r="G396" s="251"/>
      <c r="H396" s="216" t="s">
        <v>8</v>
      </c>
      <c r="I396" s="250">
        <f t="shared" ref="I396:U396" si="115">SUM(I390:I395)</f>
        <v>0</v>
      </c>
      <c r="J396" s="250">
        <f t="shared" si="115"/>
        <v>0</v>
      </c>
      <c r="K396" s="250">
        <f t="shared" si="115"/>
        <v>0</v>
      </c>
      <c r="L396" s="250">
        <f t="shared" si="115"/>
        <v>0</v>
      </c>
      <c r="M396" s="250">
        <f t="shared" si="115"/>
        <v>0</v>
      </c>
      <c r="N396" s="250">
        <f t="shared" si="115"/>
        <v>0</v>
      </c>
      <c r="O396" s="636">
        <f t="shared" si="115"/>
        <v>0</v>
      </c>
      <c r="P396" s="250">
        <f t="shared" si="115"/>
        <v>2712</v>
      </c>
      <c r="Q396" s="250">
        <f t="shared" si="115"/>
        <v>0</v>
      </c>
      <c r="R396" s="250">
        <f t="shared" si="115"/>
        <v>2112</v>
      </c>
      <c r="S396" s="250">
        <f t="shared" si="115"/>
        <v>3616.3</v>
      </c>
      <c r="T396" s="250">
        <f t="shared" si="115"/>
        <v>0</v>
      </c>
      <c r="U396" s="250">
        <f t="shared" si="115"/>
        <v>2900</v>
      </c>
    </row>
    <row r="397" spans="1:21" ht="31.5">
      <c r="A397" s="698"/>
      <c r="B397" s="698"/>
      <c r="C397" s="698"/>
      <c r="D397" s="698"/>
      <c r="E397" s="249"/>
      <c r="F397" s="248"/>
      <c r="G397" s="247"/>
      <c r="H397" s="246" t="s">
        <v>151</v>
      </c>
      <c r="I397" s="245">
        <f t="shared" ref="I397:U397" si="116">I179+I186+I235+I200+I207+I214+I221+I228+I249+I256+I263+I270+I277+I242+I284+I291+I298+I305+I312+I347+I354+I340+I333+I326+I319+I361+I368+I375+I382+I396+I389+I193</f>
        <v>544.43599999999992</v>
      </c>
      <c r="J397" s="245">
        <f t="shared" si="116"/>
        <v>61.040999999999997</v>
      </c>
      <c r="K397" s="245">
        <f t="shared" si="116"/>
        <v>5637.0999999999985</v>
      </c>
      <c r="L397" s="245">
        <f t="shared" si="116"/>
        <v>1452.4</v>
      </c>
      <c r="M397" s="245">
        <f t="shared" si="116"/>
        <v>454.9</v>
      </c>
      <c r="N397" s="245">
        <f t="shared" si="116"/>
        <v>213.8</v>
      </c>
      <c r="O397" s="627">
        <f t="shared" si="116"/>
        <v>6181.5359999999991</v>
      </c>
      <c r="P397" s="245">
        <f t="shared" si="116"/>
        <v>4551.2</v>
      </c>
      <c r="Q397" s="245">
        <f t="shared" si="116"/>
        <v>14.1</v>
      </c>
      <c r="R397" s="245">
        <f t="shared" si="116"/>
        <v>2112</v>
      </c>
      <c r="S397" s="245">
        <f t="shared" si="116"/>
        <v>4908.4000000000005</v>
      </c>
      <c r="T397" s="245">
        <f t="shared" si="116"/>
        <v>2.8</v>
      </c>
      <c r="U397" s="245">
        <f t="shared" si="116"/>
        <v>2900</v>
      </c>
    </row>
    <row r="398" spans="1:21" ht="15.75">
      <c r="A398" s="698"/>
      <c r="B398" s="698"/>
      <c r="C398" s="698"/>
      <c r="D398" s="698"/>
      <c r="E398" s="244"/>
      <c r="F398" s="216" t="s">
        <v>152</v>
      </c>
      <c r="G398" s="243" t="s">
        <v>153</v>
      </c>
      <c r="H398" s="242" t="s">
        <v>145</v>
      </c>
      <c r="I398" s="627">
        <f t="shared" ref="I398:U398" si="117">I173+I180+I229+I194+I201+I208+I215+I222+I243+I250+I257+I264+I271+I236+I278+I285+I292+I299+I306+I341+I348+I334+I327+I320+I313+I390+I355+I362+I369+I376+I383+I187</f>
        <v>0</v>
      </c>
      <c r="J398" s="627">
        <f t="shared" si="117"/>
        <v>0</v>
      </c>
      <c r="K398" s="627">
        <f t="shared" si="117"/>
        <v>338</v>
      </c>
      <c r="L398" s="627">
        <f t="shared" si="117"/>
        <v>0</v>
      </c>
      <c r="M398" s="627">
        <f t="shared" si="117"/>
        <v>0</v>
      </c>
      <c r="N398" s="627">
        <f t="shared" si="117"/>
        <v>20</v>
      </c>
      <c r="O398" s="627">
        <f t="shared" si="117"/>
        <v>338</v>
      </c>
      <c r="P398" s="627">
        <f t="shared" si="117"/>
        <v>650</v>
      </c>
      <c r="Q398" s="627">
        <f t="shared" si="117"/>
        <v>0</v>
      </c>
      <c r="R398" s="627">
        <f t="shared" si="117"/>
        <v>0</v>
      </c>
      <c r="S398" s="627">
        <f t="shared" si="117"/>
        <v>656.3</v>
      </c>
      <c r="T398" s="627">
        <f t="shared" si="117"/>
        <v>0</v>
      </c>
      <c r="U398" s="627">
        <f t="shared" si="117"/>
        <v>0</v>
      </c>
    </row>
    <row r="399" spans="1:21" ht="15.75">
      <c r="A399" s="698"/>
      <c r="B399" s="698"/>
      <c r="C399" s="698"/>
      <c r="D399" s="698"/>
      <c r="E399" s="244"/>
      <c r="F399" s="216" t="s">
        <v>154</v>
      </c>
      <c r="G399" s="243" t="s">
        <v>153</v>
      </c>
      <c r="H399" s="242" t="s">
        <v>146</v>
      </c>
      <c r="I399" s="627">
        <f t="shared" ref="I399:U399" si="118">I174+I181+I230+I195+I202+I209+I216+I223+I244+I251+I258+I265+I272+I237+I279+I286+I293+I300+I307+I342+I349+I335+I328+I321+I314+I391+I356+I363+I370+I377+I384+I188</f>
        <v>0</v>
      </c>
      <c r="J399" s="627">
        <f t="shared" si="118"/>
        <v>0</v>
      </c>
      <c r="K399" s="627">
        <f t="shared" si="118"/>
        <v>0</v>
      </c>
      <c r="L399" s="627">
        <f t="shared" si="118"/>
        <v>0</v>
      </c>
      <c r="M399" s="627">
        <f t="shared" si="118"/>
        <v>0</v>
      </c>
      <c r="N399" s="627">
        <f t="shared" si="118"/>
        <v>0</v>
      </c>
      <c r="O399" s="627">
        <f t="shared" si="118"/>
        <v>0</v>
      </c>
      <c r="P399" s="627">
        <f t="shared" si="118"/>
        <v>100</v>
      </c>
      <c r="Q399" s="627">
        <f t="shared" si="118"/>
        <v>0</v>
      </c>
      <c r="R399" s="627">
        <f t="shared" si="118"/>
        <v>0</v>
      </c>
      <c r="S399" s="627">
        <f t="shared" si="118"/>
        <v>200</v>
      </c>
      <c r="T399" s="627">
        <f t="shared" si="118"/>
        <v>0</v>
      </c>
      <c r="U399" s="627">
        <f t="shared" si="118"/>
        <v>0</v>
      </c>
    </row>
    <row r="400" spans="1:21" ht="15.75">
      <c r="A400" s="698"/>
      <c r="B400" s="698"/>
      <c r="C400" s="698"/>
      <c r="D400" s="698"/>
      <c r="E400" s="244"/>
      <c r="F400" s="216" t="s">
        <v>155</v>
      </c>
      <c r="G400" s="243" t="s">
        <v>153</v>
      </c>
      <c r="H400" s="242" t="s">
        <v>147</v>
      </c>
      <c r="I400" s="627">
        <f t="shared" ref="I400:U400" si="119">I175+I182+I231+I196+I203+I210+I217+I224+I245+I252+I259+I266+I273+I238+I280+I287+I294+I301+I308+I343+I350+I336+I329+I322+I315+I392+I357+I364+I371+I378+I385+I189</f>
        <v>0</v>
      </c>
      <c r="J400" s="627">
        <f t="shared" si="119"/>
        <v>0</v>
      </c>
      <c r="K400" s="627">
        <f t="shared" si="119"/>
        <v>0</v>
      </c>
      <c r="L400" s="627">
        <f t="shared" si="119"/>
        <v>0</v>
      </c>
      <c r="M400" s="627">
        <f t="shared" si="119"/>
        <v>0</v>
      </c>
      <c r="N400" s="627">
        <f t="shared" si="119"/>
        <v>0</v>
      </c>
      <c r="O400" s="627">
        <f t="shared" si="119"/>
        <v>0</v>
      </c>
      <c r="P400" s="627">
        <f t="shared" si="119"/>
        <v>0</v>
      </c>
      <c r="Q400" s="627">
        <f t="shared" si="119"/>
        <v>0</v>
      </c>
      <c r="R400" s="627">
        <f t="shared" si="119"/>
        <v>0</v>
      </c>
      <c r="S400" s="627">
        <f t="shared" si="119"/>
        <v>0</v>
      </c>
      <c r="T400" s="627">
        <f t="shared" si="119"/>
        <v>0</v>
      </c>
      <c r="U400" s="627">
        <f t="shared" si="119"/>
        <v>0</v>
      </c>
    </row>
    <row r="401" spans="1:21" ht="31.5">
      <c r="A401" s="698"/>
      <c r="B401" s="698"/>
      <c r="C401" s="698"/>
      <c r="D401" s="698"/>
      <c r="E401" s="244"/>
      <c r="F401" s="216" t="s">
        <v>156</v>
      </c>
      <c r="G401" s="243" t="s">
        <v>153</v>
      </c>
      <c r="H401" s="242" t="s">
        <v>148</v>
      </c>
      <c r="I401" s="627">
        <f t="shared" ref="I401:U401" si="120">I176+I183+I232+I197+I204+I211+I218+I225+I246+I253+I260+I267+I274+I239+I281+I288+I295+I302+I309+I344+I351+I337+I330+I323+I316+I393+I358+I365+I372+I379+I386+I190</f>
        <v>0</v>
      </c>
      <c r="J401" s="627">
        <f t="shared" si="120"/>
        <v>0</v>
      </c>
      <c r="K401" s="627">
        <f t="shared" si="120"/>
        <v>0</v>
      </c>
      <c r="L401" s="627">
        <f t="shared" si="120"/>
        <v>0</v>
      </c>
      <c r="M401" s="627">
        <f t="shared" si="120"/>
        <v>0</v>
      </c>
      <c r="N401" s="627">
        <f t="shared" si="120"/>
        <v>0</v>
      </c>
      <c r="O401" s="627">
        <f t="shared" si="120"/>
        <v>0</v>
      </c>
      <c r="P401" s="627">
        <f t="shared" si="120"/>
        <v>0</v>
      </c>
      <c r="Q401" s="627">
        <f t="shared" si="120"/>
        <v>0</v>
      </c>
      <c r="R401" s="627">
        <f t="shared" si="120"/>
        <v>0</v>
      </c>
      <c r="S401" s="627">
        <f t="shared" si="120"/>
        <v>0</v>
      </c>
      <c r="T401" s="627">
        <f t="shared" si="120"/>
        <v>0</v>
      </c>
      <c r="U401" s="627">
        <f t="shared" si="120"/>
        <v>0</v>
      </c>
    </row>
    <row r="402" spans="1:21" ht="15.75">
      <c r="A402" s="698"/>
      <c r="B402" s="698"/>
      <c r="C402" s="698"/>
      <c r="D402" s="698"/>
      <c r="E402" s="244"/>
      <c r="F402" s="216" t="s">
        <v>157</v>
      </c>
      <c r="G402" s="243" t="s">
        <v>153</v>
      </c>
      <c r="H402" s="242" t="s">
        <v>5</v>
      </c>
      <c r="I402" s="627">
        <f t="shared" ref="I402:U402" si="121">I177+I184+I233+I198+I205+I212+I219+I226+I247+I254+I261+I268+I275+I240+I282+I289+I296+I303+I310+I345+I352+I338+I331+I324+I317+I394+I359+I366+I373+I380+I387+I191</f>
        <v>0</v>
      </c>
      <c r="J402" s="627">
        <f t="shared" si="121"/>
        <v>0</v>
      </c>
      <c r="K402" s="627">
        <f t="shared" si="121"/>
        <v>1907.3000000000002</v>
      </c>
      <c r="L402" s="627">
        <f t="shared" si="121"/>
        <v>1452.4</v>
      </c>
      <c r="M402" s="627">
        <f t="shared" si="121"/>
        <v>454.9</v>
      </c>
      <c r="N402" s="627">
        <f t="shared" si="121"/>
        <v>0</v>
      </c>
      <c r="O402" s="627">
        <f t="shared" si="121"/>
        <v>1907.3000000000002</v>
      </c>
      <c r="P402" s="627">
        <f t="shared" si="121"/>
        <v>2126.1</v>
      </c>
      <c r="Q402" s="627">
        <f t="shared" si="121"/>
        <v>14.1</v>
      </c>
      <c r="R402" s="627">
        <f t="shared" si="121"/>
        <v>2112</v>
      </c>
      <c r="S402" s="627">
        <f t="shared" si="121"/>
        <v>2902.8</v>
      </c>
      <c r="T402" s="627">
        <f t="shared" si="121"/>
        <v>2.8</v>
      </c>
      <c r="U402" s="627">
        <f t="shared" si="121"/>
        <v>2900</v>
      </c>
    </row>
    <row r="403" spans="1:21" ht="15.75">
      <c r="A403" s="699"/>
      <c r="B403" s="699"/>
      <c r="C403" s="699"/>
      <c r="D403" s="699"/>
      <c r="E403" s="244"/>
      <c r="F403" s="216" t="s">
        <v>158</v>
      </c>
      <c r="G403" s="243" t="s">
        <v>153</v>
      </c>
      <c r="H403" s="242" t="s">
        <v>149</v>
      </c>
      <c r="I403" s="627">
        <f t="shared" ref="I403:U403" si="122">I178+I185+I234+I199+I206+I213+I220+I227+I248+I255+I262+I269+I276+I241+I283+I290+I297+I304+I311+I346+I353+I339+I332+I325+I318+I395+I360+I367+I374+I381+I388+I192</f>
        <v>544.43599999999992</v>
      </c>
      <c r="J403" s="627">
        <f t="shared" si="122"/>
        <v>61.040999999999997</v>
      </c>
      <c r="K403" s="627">
        <f t="shared" si="122"/>
        <v>3391.8</v>
      </c>
      <c r="L403" s="627">
        <f t="shared" si="122"/>
        <v>0</v>
      </c>
      <c r="M403" s="627">
        <f t="shared" si="122"/>
        <v>0</v>
      </c>
      <c r="N403" s="627">
        <f t="shared" si="122"/>
        <v>193.8</v>
      </c>
      <c r="O403" s="627">
        <f t="shared" si="122"/>
        <v>3936.2359999999999</v>
      </c>
      <c r="P403" s="627">
        <f t="shared" si="122"/>
        <v>1675.1</v>
      </c>
      <c r="Q403" s="627">
        <f t="shared" si="122"/>
        <v>0</v>
      </c>
      <c r="R403" s="627">
        <f t="shared" si="122"/>
        <v>0</v>
      </c>
      <c r="S403" s="627">
        <f t="shared" si="122"/>
        <v>1149.3</v>
      </c>
      <c r="T403" s="627">
        <f t="shared" si="122"/>
        <v>0</v>
      </c>
      <c r="U403" s="627">
        <f t="shared" si="122"/>
        <v>0</v>
      </c>
    </row>
    <row r="404" spans="1:21" ht="31.5">
      <c r="A404" s="241" t="s">
        <v>4</v>
      </c>
      <c r="B404" s="240" t="s">
        <v>4</v>
      </c>
      <c r="C404" s="237"/>
      <c r="D404" s="240" t="s">
        <v>5</v>
      </c>
      <c r="E404" s="239"/>
      <c r="F404" s="238"/>
      <c r="G404" s="237"/>
      <c r="H404" s="236" t="s">
        <v>288</v>
      </c>
      <c r="I404" s="235">
        <f t="shared" ref="I404:U404" si="123">I16+I38+I165+I397</f>
        <v>1027.3599999999999</v>
      </c>
      <c r="J404" s="235">
        <f t="shared" si="123"/>
        <v>113.446</v>
      </c>
      <c r="K404" s="235">
        <f t="shared" si="123"/>
        <v>9724.9999999999982</v>
      </c>
      <c r="L404" s="235">
        <f t="shared" si="123"/>
        <v>2202.4</v>
      </c>
      <c r="M404" s="235">
        <f t="shared" si="123"/>
        <v>1684.8000000000002</v>
      </c>
      <c r="N404" s="235">
        <f t="shared" si="123"/>
        <v>242.70000000000002</v>
      </c>
      <c r="O404" s="638">
        <f t="shared" si="123"/>
        <v>10752.359999999999</v>
      </c>
      <c r="P404" s="235">
        <f t="shared" si="123"/>
        <v>13311.8</v>
      </c>
      <c r="Q404" s="235">
        <f t="shared" si="123"/>
        <v>1485.8999999999999</v>
      </c>
      <c r="R404" s="235">
        <f t="shared" si="123"/>
        <v>2112</v>
      </c>
      <c r="S404" s="235">
        <f t="shared" si="123"/>
        <v>13395</v>
      </c>
      <c r="T404" s="235">
        <f t="shared" si="123"/>
        <v>1162.6999999999998</v>
      </c>
      <c r="U404" s="235">
        <f t="shared" si="123"/>
        <v>2900</v>
      </c>
    </row>
    <row r="405" spans="1:21" ht="31.5">
      <c r="A405" s="234" t="s">
        <v>4</v>
      </c>
      <c r="B405" s="233"/>
      <c r="C405" s="233"/>
      <c r="D405" s="233"/>
      <c r="E405" s="232"/>
      <c r="F405" s="231"/>
      <c r="G405" s="230"/>
      <c r="H405" s="229" t="s">
        <v>289</v>
      </c>
      <c r="I405" s="228">
        <f t="shared" ref="I405:U405" si="124">I404</f>
        <v>1027.3599999999999</v>
      </c>
      <c r="J405" s="228">
        <f t="shared" si="124"/>
        <v>113.446</v>
      </c>
      <c r="K405" s="228">
        <f t="shared" si="124"/>
        <v>9724.9999999999982</v>
      </c>
      <c r="L405" s="228">
        <f t="shared" si="124"/>
        <v>2202.4</v>
      </c>
      <c r="M405" s="228">
        <f t="shared" si="124"/>
        <v>1684.8000000000002</v>
      </c>
      <c r="N405" s="228">
        <f t="shared" si="124"/>
        <v>242.70000000000002</v>
      </c>
      <c r="O405" s="639">
        <f t="shared" si="124"/>
        <v>10752.359999999999</v>
      </c>
      <c r="P405" s="228">
        <f t="shared" si="124"/>
        <v>13311.8</v>
      </c>
      <c r="Q405" s="228">
        <f t="shared" si="124"/>
        <v>1485.8999999999999</v>
      </c>
      <c r="R405" s="228">
        <f t="shared" si="124"/>
        <v>2112</v>
      </c>
      <c r="S405" s="228">
        <f t="shared" si="124"/>
        <v>13395</v>
      </c>
      <c r="T405" s="228">
        <f t="shared" si="124"/>
        <v>1162.6999999999998</v>
      </c>
      <c r="U405" s="228">
        <f t="shared" si="124"/>
        <v>2900</v>
      </c>
    </row>
    <row r="406" spans="1:21" ht="15.75">
      <c r="A406" s="227"/>
      <c r="B406" s="213"/>
      <c r="C406" s="210"/>
      <c r="D406" s="210"/>
      <c r="E406" s="212"/>
      <c r="F406" s="211"/>
      <c r="G406" s="210"/>
      <c r="H406" s="226"/>
      <c r="I406" s="226"/>
      <c r="J406" s="226"/>
      <c r="K406" s="226"/>
      <c r="L406" s="226"/>
      <c r="M406" s="226"/>
      <c r="N406" s="226"/>
      <c r="O406" s="640"/>
      <c r="P406" s="226"/>
      <c r="Q406" s="226"/>
      <c r="R406" s="226"/>
      <c r="S406" s="226"/>
      <c r="T406" s="226"/>
      <c r="U406" s="226"/>
    </row>
    <row r="407" spans="1:21" ht="15.75">
      <c r="A407" s="227"/>
      <c r="B407" s="213"/>
      <c r="C407" s="210"/>
      <c r="D407" s="210"/>
      <c r="E407" s="212"/>
      <c r="F407" s="211"/>
      <c r="G407" s="210"/>
      <c r="H407" s="226"/>
      <c r="I407" s="226"/>
      <c r="J407" s="226"/>
      <c r="K407" s="226"/>
      <c r="L407" s="226"/>
      <c r="M407" s="226"/>
      <c r="N407" s="226"/>
      <c r="O407" s="640"/>
      <c r="P407" s="226"/>
      <c r="Q407" s="226"/>
      <c r="R407" s="226"/>
      <c r="S407" s="226"/>
      <c r="T407" s="226"/>
      <c r="U407" s="226"/>
    </row>
    <row r="408" spans="1:21" ht="15.75">
      <c r="A408" s="225" t="s">
        <v>290</v>
      </c>
      <c r="B408" s="222"/>
      <c r="C408" s="222"/>
      <c r="D408" s="222"/>
      <c r="E408" s="224"/>
      <c r="F408" s="223"/>
      <c r="G408" s="222"/>
      <c r="H408" s="221"/>
      <c r="I408" s="221"/>
      <c r="J408" s="221"/>
      <c r="K408" s="221"/>
      <c r="L408" s="221"/>
      <c r="M408" s="221"/>
      <c r="N408" s="221"/>
      <c r="O408" s="641"/>
      <c r="P408" s="221"/>
      <c r="Q408" s="221"/>
      <c r="R408" s="221"/>
      <c r="S408" s="221"/>
      <c r="T408" s="221"/>
      <c r="U408" s="221"/>
    </row>
    <row r="409" spans="1:21" ht="15.75">
      <c r="A409" s="733" t="s">
        <v>152</v>
      </c>
      <c r="B409" s="734"/>
      <c r="C409" s="734"/>
      <c r="D409" s="734"/>
      <c r="E409" s="734"/>
      <c r="F409" s="734"/>
      <c r="G409" s="220"/>
      <c r="H409" s="219" t="s">
        <v>145</v>
      </c>
      <c r="I409" s="627">
        <f t="shared" ref="I409:U409" si="125">I173+I180+I229+I144+I137+I130+I123+I116+I109+I102+I95+I88+I81+I74+I67+I60+I46+I31+I24+I194+I9+I53+I201+I208+I215+I222+I243+I250+I257+I264+I271+I236+I278+I285+I292+I299+I306+I341+I151+I158+I348+I334+I327+I320+I313+I390+I355+I362+I369+I376+I383+I187</f>
        <v>263.2</v>
      </c>
      <c r="J409" s="627">
        <f t="shared" si="125"/>
        <v>0</v>
      </c>
      <c r="K409" s="628">
        <f t="shared" si="125"/>
        <v>458</v>
      </c>
      <c r="L409" s="627">
        <f t="shared" si="125"/>
        <v>0</v>
      </c>
      <c r="M409" s="627">
        <f t="shared" si="125"/>
        <v>0</v>
      </c>
      <c r="N409" s="627">
        <f t="shared" si="125"/>
        <v>20</v>
      </c>
      <c r="O409" s="627">
        <f t="shared" si="125"/>
        <v>721.2</v>
      </c>
      <c r="P409" s="627">
        <f t="shared" si="125"/>
        <v>742.3</v>
      </c>
      <c r="Q409" s="627">
        <f t="shared" si="125"/>
        <v>0</v>
      </c>
      <c r="R409" s="627">
        <f t="shared" si="125"/>
        <v>0</v>
      </c>
      <c r="S409" s="627">
        <f t="shared" si="125"/>
        <v>748.5</v>
      </c>
      <c r="T409" s="627">
        <f t="shared" si="125"/>
        <v>0</v>
      </c>
      <c r="U409" s="627">
        <f t="shared" si="125"/>
        <v>0</v>
      </c>
    </row>
    <row r="410" spans="1:21" ht="15.75">
      <c r="A410" s="733" t="s">
        <v>154</v>
      </c>
      <c r="B410" s="734"/>
      <c r="C410" s="734"/>
      <c r="D410" s="734"/>
      <c r="E410" s="734"/>
      <c r="F410" s="734"/>
      <c r="G410" s="220"/>
      <c r="H410" s="219" t="s">
        <v>146</v>
      </c>
      <c r="I410" s="627">
        <f t="shared" ref="I410:U410" si="126">I174+I181+I230+I145+I138+I131+I124+I117+I110+I103+I96+I89+I82+I75+I68+I61+I47+I32+I25+I195+I10+I54+I202+I209+I216+I223+I244+I251+I258+I265+I272+I237+I279+I286+I293+I300+I307+I342+I152+I159+I349+I335+I328+I321+I314+I391+I356+I363+I370+I377+I384+I188</f>
        <v>0</v>
      </c>
      <c r="J410" s="627">
        <f t="shared" si="126"/>
        <v>0</v>
      </c>
      <c r="K410" s="628">
        <f t="shared" si="126"/>
        <v>0</v>
      </c>
      <c r="L410" s="627">
        <f t="shared" si="126"/>
        <v>0</v>
      </c>
      <c r="M410" s="627">
        <f t="shared" si="126"/>
        <v>0</v>
      </c>
      <c r="N410" s="627">
        <f t="shared" si="126"/>
        <v>0</v>
      </c>
      <c r="O410" s="627">
        <f t="shared" si="126"/>
        <v>0</v>
      </c>
      <c r="P410" s="627">
        <f t="shared" si="126"/>
        <v>100</v>
      </c>
      <c r="Q410" s="627">
        <f t="shared" si="126"/>
        <v>0</v>
      </c>
      <c r="R410" s="627">
        <f t="shared" si="126"/>
        <v>0</v>
      </c>
      <c r="S410" s="627">
        <f t="shared" si="126"/>
        <v>200</v>
      </c>
      <c r="T410" s="627">
        <f t="shared" si="126"/>
        <v>0</v>
      </c>
      <c r="U410" s="627">
        <f t="shared" si="126"/>
        <v>0</v>
      </c>
    </row>
    <row r="411" spans="1:21" ht="15.75">
      <c r="A411" s="733" t="s">
        <v>155</v>
      </c>
      <c r="B411" s="734"/>
      <c r="C411" s="734"/>
      <c r="D411" s="734"/>
      <c r="E411" s="734"/>
      <c r="F411" s="734"/>
      <c r="G411" s="217"/>
      <c r="H411" s="218" t="s">
        <v>147</v>
      </c>
      <c r="I411" s="627">
        <f t="shared" ref="I411:U411" si="127">I175+I182+I231+I146+I139+I132+I125+I118+I111+I104+I97+I90+I83+I76+I69+I62+I48+I33+I26+I196+I11+I55+I203+I210+I217+I224+I245+I252+I259+I266+I273+I238+I280+I287+I294+I301+I308+I343+I153+I160+I350+I336+I329+I322+I315+I392+I357+I364+I371+I378+I385+I189</f>
        <v>0</v>
      </c>
      <c r="J411" s="627">
        <f t="shared" si="127"/>
        <v>0</v>
      </c>
      <c r="K411" s="628">
        <f t="shared" si="127"/>
        <v>0</v>
      </c>
      <c r="L411" s="627">
        <f t="shared" si="127"/>
        <v>0</v>
      </c>
      <c r="M411" s="627">
        <f t="shared" si="127"/>
        <v>0</v>
      </c>
      <c r="N411" s="627">
        <f t="shared" si="127"/>
        <v>0</v>
      </c>
      <c r="O411" s="627">
        <f t="shared" si="127"/>
        <v>0</v>
      </c>
      <c r="P411" s="627">
        <f t="shared" si="127"/>
        <v>0</v>
      </c>
      <c r="Q411" s="627">
        <f t="shared" si="127"/>
        <v>0</v>
      </c>
      <c r="R411" s="627">
        <f t="shared" si="127"/>
        <v>0</v>
      </c>
      <c r="S411" s="627">
        <f t="shared" si="127"/>
        <v>0</v>
      </c>
      <c r="T411" s="627">
        <f t="shared" si="127"/>
        <v>0</v>
      </c>
      <c r="U411" s="627">
        <f t="shared" si="127"/>
        <v>0</v>
      </c>
    </row>
    <row r="412" spans="1:21" ht="15.75">
      <c r="A412" s="733" t="s">
        <v>156</v>
      </c>
      <c r="B412" s="734"/>
      <c r="C412" s="734"/>
      <c r="D412" s="734"/>
      <c r="E412" s="734"/>
      <c r="F412" s="734"/>
      <c r="G412" s="217"/>
      <c r="H412" s="216" t="s">
        <v>148</v>
      </c>
      <c r="I412" s="627">
        <f t="shared" ref="I412:U412" si="128">I176+I183+I232+I147+I140+I133+I126+I119+I112+I105+I98+I91+I84+I77+I70+I63+I49+I34+I27+I197+I12+I56+I204+I211+I218+I225+I246+I253+I260+I267+I274+I239+I281+I288+I295+I302+I309+I344+I154+I161+I351+I337+I330+I323+I316+I393+I358+I365+I372+I379+I386+I190</f>
        <v>0</v>
      </c>
      <c r="J412" s="627">
        <f t="shared" si="128"/>
        <v>0</v>
      </c>
      <c r="K412" s="628">
        <f t="shared" si="128"/>
        <v>0</v>
      </c>
      <c r="L412" s="627">
        <f t="shared" si="128"/>
        <v>0</v>
      </c>
      <c r="M412" s="627">
        <f t="shared" si="128"/>
        <v>0</v>
      </c>
      <c r="N412" s="627">
        <f t="shared" si="128"/>
        <v>0</v>
      </c>
      <c r="O412" s="627">
        <f t="shared" si="128"/>
        <v>0</v>
      </c>
      <c r="P412" s="627">
        <f t="shared" si="128"/>
        <v>0</v>
      </c>
      <c r="Q412" s="627">
        <f t="shared" si="128"/>
        <v>0</v>
      </c>
      <c r="R412" s="627">
        <f t="shared" si="128"/>
        <v>0</v>
      </c>
      <c r="S412" s="627">
        <f t="shared" si="128"/>
        <v>0</v>
      </c>
      <c r="T412" s="627">
        <f t="shared" si="128"/>
        <v>0</v>
      </c>
      <c r="U412" s="627">
        <f t="shared" si="128"/>
        <v>0</v>
      </c>
    </row>
    <row r="413" spans="1:21" ht="15.75">
      <c r="A413" s="733" t="s">
        <v>157</v>
      </c>
      <c r="B413" s="734"/>
      <c r="C413" s="734"/>
      <c r="D413" s="734"/>
      <c r="E413" s="734"/>
      <c r="F413" s="734"/>
      <c r="G413" s="217"/>
      <c r="H413" s="216" t="s">
        <v>5</v>
      </c>
      <c r="I413" s="627">
        <f t="shared" ref="I413:U413" si="129">I177+I184+I233+I148+I141+I134+I127+I120+I113+I106+I99+I92+I85+I78+I71+I64+I50+I35+I28+I198+I13+I57+I205+I212+I219+I226+I247+I254+I261+I268+I275+I240+I282+I289+I296+I303+I310+I345+I155+I162+I352+I338+I331+I324+I317+I394+I359+I366+I373+I380+I387+I191</f>
        <v>0</v>
      </c>
      <c r="J413" s="627">
        <f t="shared" si="129"/>
        <v>0</v>
      </c>
      <c r="K413" s="628">
        <f t="shared" si="129"/>
        <v>3887.2000000000007</v>
      </c>
      <c r="L413" s="627">
        <f t="shared" si="129"/>
        <v>2202.4</v>
      </c>
      <c r="M413" s="627">
        <f t="shared" si="129"/>
        <v>1684.8000000000002</v>
      </c>
      <c r="N413" s="627">
        <f t="shared" si="129"/>
        <v>0</v>
      </c>
      <c r="O413" s="627">
        <f t="shared" si="129"/>
        <v>3887.2000000000007</v>
      </c>
      <c r="P413" s="627">
        <f t="shared" si="129"/>
        <v>3597.8999999999996</v>
      </c>
      <c r="Q413" s="627">
        <f t="shared" si="129"/>
        <v>1485.8999999999996</v>
      </c>
      <c r="R413" s="627">
        <f t="shared" si="129"/>
        <v>2112</v>
      </c>
      <c r="S413" s="627">
        <f t="shared" si="129"/>
        <v>4062.7</v>
      </c>
      <c r="T413" s="627">
        <f t="shared" si="129"/>
        <v>1162.7</v>
      </c>
      <c r="U413" s="627">
        <f t="shared" si="129"/>
        <v>2900</v>
      </c>
    </row>
    <row r="414" spans="1:21" ht="15.75">
      <c r="A414" s="733" t="s">
        <v>158</v>
      </c>
      <c r="B414" s="734"/>
      <c r="C414" s="734"/>
      <c r="D414" s="734"/>
      <c r="E414" s="734"/>
      <c r="F414" s="734"/>
      <c r="G414" s="217"/>
      <c r="H414" s="216" t="s">
        <v>149</v>
      </c>
      <c r="I414" s="627">
        <f t="shared" ref="I414:U414" si="130">I178+I185+I234+I149+I142+I135+I128+I121+I114+I107+I100+I93+I86+I79+I72+I65+I51+I36+I29+I199+I14+I58+I206+I213+I220+I227+I248+I255+I262+I269+I276+I241+I283+I290+I297+I304+I311+I346+I156+I163+I353+I339+I332+I325+I318+I395+I360+I367+I374+I381+I388+I192</f>
        <v>764.16000000000008</v>
      </c>
      <c r="J414" s="627">
        <f t="shared" si="130"/>
        <v>113.446</v>
      </c>
      <c r="K414" s="628">
        <f t="shared" si="130"/>
        <v>5379.8</v>
      </c>
      <c r="L414" s="627">
        <f t="shared" si="130"/>
        <v>0</v>
      </c>
      <c r="M414" s="627">
        <f t="shared" si="130"/>
        <v>0</v>
      </c>
      <c r="N414" s="627">
        <f t="shared" si="130"/>
        <v>222.70000000000005</v>
      </c>
      <c r="O414" s="627">
        <f t="shared" si="130"/>
        <v>6143.96</v>
      </c>
      <c r="P414" s="627">
        <f t="shared" si="130"/>
        <v>8871.6</v>
      </c>
      <c r="Q414" s="627">
        <f t="shared" si="130"/>
        <v>0</v>
      </c>
      <c r="R414" s="627">
        <f t="shared" si="130"/>
        <v>0</v>
      </c>
      <c r="S414" s="627">
        <f t="shared" si="130"/>
        <v>8383.8000000000011</v>
      </c>
      <c r="T414" s="627">
        <f t="shared" si="130"/>
        <v>0</v>
      </c>
      <c r="U414" s="627">
        <f t="shared" si="130"/>
        <v>0</v>
      </c>
    </row>
    <row r="415" spans="1:21" ht="31.5">
      <c r="A415" s="735"/>
      <c r="B415" s="734"/>
      <c r="C415" s="734"/>
      <c r="D415" s="734"/>
      <c r="E415" s="734"/>
      <c r="F415" s="734"/>
      <c r="G415" s="215"/>
      <c r="H415" s="215" t="s">
        <v>291</v>
      </c>
      <c r="I415" s="214">
        <f t="shared" ref="I415:U415" si="131">SUM(I409:I414)</f>
        <v>1027.3600000000001</v>
      </c>
      <c r="J415" s="214">
        <f t="shared" si="131"/>
        <v>113.446</v>
      </c>
      <c r="K415" s="214">
        <f t="shared" si="131"/>
        <v>9725</v>
      </c>
      <c r="L415" s="214">
        <f t="shared" si="131"/>
        <v>2202.4</v>
      </c>
      <c r="M415" s="214">
        <f t="shared" si="131"/>
        <v>1684.8000000000002</v>
      </c>
      <c r="N415" s="214">
        <f t="shared" si="131"/>
        <v>242.70000000000005</v>
      </c>
      <c r="O415" s="629">
        <f t="shared" si="131"/>
        <v>10752.36</v>
      </c>
      <c r="P415" s="214">
        <f t="shared" si="131"/>
        <v>13311.8</v>
      </c>
      <c r="Q415" s="214">
        <f t="shared" si="131"/>
        <v>1485.8999999999996</v>
      </c>
      <c r="R415" s="214">
        <f t="shared" si="131"/>
        <v>2112</v>
      </c>
      <c r="S415" s="214">
        <f t="shared" si="131"/>
        <v>13395</v>
      </c>
      <c r="T415" s="214">
        <f t="shared" si="131"/>
        <v>1162.7</v>
      </c>
      <c r="U415" s="214">
        <f t="shared" si="131"/>
        <v>2900</v>
      </c>
    </row>
    <row r="416" spans="1:21" ht="15.75">
      <c r="A416" s="213"/>
      <c r="B416" s="213"/>
      <c r="C416" s="210"/>
      <c r="D416" s="210"/>
      <c r="E416" s="212"/>
      <c r="F416" s="211"/>
      <c r="G416" s="210"/>
      <c r="H416" s="210"/>
      <c r="I416" s="213"/>
      <c r="J416" s="213"/>
      <c r="K416" s="213"/>
      <c r="L416" s="213"/>
      <c r="M416" s="213"/>
      <c r="N416" s="213"/>
      <c r="O416" s="642"/>
      <c r="P416" s="213"/>
      <c r="Q416" s="213"/>
      <c r="R416" s="213"/>
      <c r="S416" s="213"/>
      <c r="T416" s="213"/>
      <c r="U416" s="213"/>
    </row>
  </sheetData>
  <autoFilter ref="G1:H416"/>
  <mergeCells count="195">
    <mergeCell ref="T2:U2"/>
    <mergeCell ref="E222:E228"/>
    <mergeCell ref="E229:E235"/>
    <mergeCell ref="B173:B403"/>
    <mergeCell ref="C173:C403"/>
    <mergeCell ref="D173:D403"/>
    <mergeCell ref="E180:E186"/>
    <mergeCell ref="E355:E361"/>
    <mergeCell ref="F250:F255"/>
    <mergeCell ref="F306:F311"/>
    <mergeCell ref="F313:F318"/>
    <mergeCell ref="F320:F325"/>
    <mergeCell ref="E243:E249"/>
    <mergeCell ref="E250:E256"/>
    <mergeCell ref="E257:E263"/>
    <mergeCell ref="E264:E270"/>
    <mergeCell ref="E306:E312"/>
    <mergeCell ref="E348:E354"/>
    <mergeCell ref="F348:F353"/>
    <mergeCell ref="F271:F276"/>
    <mergeCell ref="F278:F283"/>
    <mergeCell ref="F285:F290"/>
    <mergeCell ref="F292:F297"/>
    <mergeCell ref="F299:F304"/>
    <mergeCell ref="F180:F185"/>
    <mergeCell ref="A414:F414"/>
    <mergeCell ref="A415:F415"/>
    <mergeCell ref="E390:E396"/>
    <mergeCell ref="F390:F395"/>
    <mergeCell ref="A409:F409"/>
    <mergeCell ref="A410:F410"/>
    <mergeCell ref="A411:F411"/>
    <mergeCell ref="A412:F412"/>
    <mergeCell ref="A413:F413"/>
    <mergeCell ref="A173:A403"/>
    <mergeCell ref="F327:F332"/>
    <mergeCell ref="F334:F339"/>
    <mergeCell ref="F341:F346"/>
    <mergeCell ref="F257:F262"/>
    <mergeCell ref="F264:F269"/>
    <mergeCell ref="F201:F206"/>
    <mergeCell ref="F208:F213"/>
    <mergeCell ref="F355:F360"/>
    <mergeCell ref="E236:E242"/>
    <mergeCell ref="F215:F220"/>
    <mergeCell ref="F222:F227"/>
    <mergeCell ref="F229:F234"/>
    <mergeCell ref="F236:F241"/>
    <mergeCell ref="F243:F248"/>
    <mergeCell ref="A1:F1"/>
    <mergeCell ref="A3:C3"/>
    <mergeCell ref="D3:D4"/>
    <mergeCell ref="E3:E4"/>
    <mergeCell ref="F3:F4"/>
    <mergeCell ref="G3:G4"/>
    <mergeCell ref="C24:C44"/>
    <mergeCell ref="D24:D44"/>
    <mergeCell ref="E24:E30"/>
    <mergeCell ref="F24:F29"/>
    <mergeCell ref="G24:G29"/>
    <mergeCell ref="A24:A44"/>
    <mergeCell ref="B24:B44"/>
    <mergeCell ref="E31:E37"/>
    <mergeCell ref="F31:F36"/>
    <mergeCell ref="A9:A22"/>
    <mergeCell ref="B9:B22"/>
    <mergeCell ref="C9:C22"/>
    <mergeCell ref="D9:D22"/>
    <mergeCell ref="E9:E15"/>
    <mergeCell ref="F9:F14"/>
    <mergeCell ref="G9:G14"/>
    <mergeCell ref="G31:G36"/>
    <mergeCell ref="E201:E207"/>
    <mergeCell ref="E208:E214"/>
    <mergeCell ref="E215:E221"/>
    <mergeCell ref="E67:E73"/>
    <mergeCell ref="F67:F72"/>
    <mergeCell ref="G67:G72"/>
    <mergeCell ref="E74:E80"/>
    <mergeCell ref="F74:F79"/>
    <mergeCell ref="G74:G79"/>
    <mergeCell ref="E81:E87"/>
    <mergeCell ref="G116:G121"/>
    <mergeCell ref="E194:E200"/>
    <mergeCell ref="F151:F156"/>
    <mergeCell ref="G102:G107"/>
    <mergeCell ref="G109:G114"/>
    <mergeCell ref="G81:G86"/>
    <mergeCell ref="G88:G93"/>
    <mergeCell ref="G95:G100"/>
    <mergeCell ref="E187:E193"/>
    <mergeCell ref="F187:F192"/>
    <mergeCell ref="G187:G192"/>
    <mergeCell ref="G194:G199"/>
    <mergeCell ref="E137:E143"/>
    <mergeCell ref="F137:F142"/>
    <mergeCell ref="A46:A171"/>
    <mergeCell ref="B46:B171"/>
    <mergeCell ref="C46:C171"/>
    <mergeCell ref="D46:D171"/>
    <mergeCell ref="F46:F51"/>
    <mergeCell ref="E173:E179"/>
    <mergeCell ref="F173:F178"/>
    <mergeCell ref="E116:E122"/>
    <mergeCell ref="F116:F121"/>
    <mergeCell ref="E102:E108"/>
    <mergeCell ref="F102:F107"/>
    <mergeCell ref="E109:E115"/>
    <mergeCell ref="F109:F114"/>
    <mergeCell ref="F81:F86"/>
    <mergeCell ref="E88:E94"/>
    <mergeCell ref="F88:F93"/>
    <mergeCell ref="E95:E101"/>
    <mergeCell ref="F95:F100"/>
    <mergeCell ref="E158:E164"/>
    <mergeCell ref="F158:F163"/>
    <mergeCell ref="E123:E129"/>
    <mergeCell ref="F123:F128"/>
    <mergeCell ref="E130:E136"/>
    <mergeCell ref="F130:F135"/>
    <mergeCell ref="G46:G51"/>
    <mergeCell ref="G53:G58"/>
    <mergeCell ref="G60:G65"/>
    <mergeCell ref="F53:F58"/>
    <mergeCell ref="E60:E66"/>
    <mergeCell ref="F60:F65"/>
    <mergeCell ref="E53:E59"/>
    <mergeCell ref="T3:U3"/>
    <mergeCell ref="L3:N3"/>
    <mergeCell ref="O3:O4"/>
    <mergeCell ref="P3:P4"/>
    <mergeCell ref="H3:H4"/>
    <mergeCell ref="I3:I4"/>
    <mergeCell ref="K3:K4"/>
    <mergeCell ref="Q3:R3"/>
    <mergeCell ref="S3:S4"/>
    <mergeCell ref="E46:E52"/>
    <mergeCell ref="E144:E150"/>
    <mergeCell ref="F144:F149"/>
    <mergeCell ref="E151:E157"/>
    <mergeCell ref="G137:G142"/>
    <mergeCell ref="G123:G128"/>
    <mergeCell ref="G130:G135"/>
    <mergeCell ref="F194:F199"/>
    <mergeCell ref="G348:G353"/>
    <mergeCell ref="G144:G149"/>
    <mergeCell ref="G151:G156"/>
    <mergeCell ref="G158:G163"/>
    <mergeCell ref="G173:G178"/>
    <mergeCell ref="G180:G185"/>
    <mergeCell ref="G201:G206"/>
    <mergeCell ref="G208:G213"/>
    <mergeCell ref="G215:G220"/>
    <mergeCell ref="G222:G227"/>
    <mergeCell ref="G229:G234"/>
    <mergeCell ref="G236:G241"/>
    <mergeCell ref="G264:G269"/>
    <mergeCell ref="G250:G255"/>
    <mergeCell ref="G257:G262"/>
    <mergeCell ref="G341:G346"/>
    <mergeCell ref="G243:G248"/>
    <mergeCell ref="G390:G395"/>
    <mergeCell ref="G285:G290"/>
    <mergeCell ref="G292:G297"/>
    <mergeCell ref="G299:G304"/>
    <mergeCell ref="G306:G311"/>
    <mergeCell ref="G313:G318"/>
    <mergeCell ref="G320:G325"/>
    <mergeCell ref="E271:E277"/>
    <mergeCell ref="E334:E340"/>
    <mergeCell ref="G271:G276"/>
    <mergeCell ref="G278:G283"/>
    <mergeCell ref="G327:G332"/>
    <mergeCell ref="G334:G339"/>
    <mergeCell ref="E313:E319"/>
    <mergeCell ref="E320:E326"/>
    <mergeCell ref="E327:E333"/>
    <mergeCell ref="E278:E284"/>
    <mergeCell ref="E285:E291"/>
    <mergeCell ref="E369:E375"/>
    <mergeCell ref="F369:F374"/>
    <mergeCell ref="G369:G374"/>
    <mergeCell ref="E341:E347"/>
    <mergeCell ref="E292:E298"/>
    <mergeCell ref="E299:E305"/>
    <mergeCell ref="G355:G360"/>
    <mergeCell ref="E362:E368"/>
    <mergeCell ref="F362:F367"/>
    <mergeCell ref="G362:G367"/>
    <mergeCell ref="E383:E389"/>
    <mergeCell ref="F383:F388"/>
    <mergeCell ref="G383:G388"/>
    <mergeCell ref="E376:E382"/>
    <mergeCell ref="F376:F381"/>
    <mergeCell ref="G376:G381"/>
  </mergeCells>
  <pageMargins left="0.23622047244094491" right="0.23622047244094491" top="0.74803149606299213" bottom="1.6822087476291743" header="0" footer="0"/>
  <pageSetup paperSize="9" scale="5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9"/>
  <sheetViews>
    <sheetView zoomScale="80" zoomScaleNormal="80" workbookViewId="0">
      <pane xSplit="1" ySplit="5" topLeftCell="B6" activePane="bottomRight" state="frozen"/>
      <selection pane="topRight" activeCell="B1" sqref="B1"/>
      <selection pane="bottomLeft" activeCell="A6" sqref="A6"/>
      <selection pane="bottomRight" activeCell="B587" sqref="B587"/>
    </sheetView>
  </sheetViews>
  <sheetFormatPr defaultRowHeight="15.75"/>
  <cols>
    <col min="1" max="1" width="12.28515625" style="626" customWidth="1"/>
    <col min="2" max="2" width="13.42578125" style="615" customWidth="1"/>
    <col min="3" max="4" width="12.140625" style="616" customWidth="1"/>
    <col min="5" max="6" width="13.85546875" style="616" customWidth="1"/>
    <col min="7" max="7" width="12.85546875" style="616" customWidth="1"/>
    <col min="8" max="8" width="8.85546875" style="617" customWidth="1"/>
    <col min="9" max="9" width="8.5703125" style="617" customWidth="1"/>
    <col min="10" max="10" width="16" style="618" customWidth="1"/>
    <col min="11" max="11" width="68" style="619" customWidth="1"/>
    <col min="12" max="12" width="15.5703125" style="370" customWidth="1"/>
    <col min="13" max="13" width="80.42578125" style="619" customWidth="1"/>
    <col min="14" max="16384" width="9.140625" style="372"/>
  </cols>
  <sheetData>
    <row r="1" spans="1:13">
      <c r="A1" s="365"/>
      <c r="B1" s="365"/>
      <c r="C1" s="366"/>
      <c r="D1" s="366"/>
      <c r="E1" s="367"/>
      <c r="F1" s="367"/>
      <c r="G1" s="367"/>
      <c r="H1" s="368"/>
      <c r="I1" s="368"/>
      <c r="J1" s="369"/>
      <c r="K1" s="366"/>
      <c r="M1" s="371" t="s">
        <v>781</v>
      </c>
    </row>
    <row r="2" spans="1:13" ht="3.75" customHeight="1">
      <c r="A2" s="874" t="s">
        <v>529</v>
      </c>
      <c r="B2" s="874"/>
      <c r="C2" s="874"/>
      <c r="D2" s="874"/>
      <c r="E2" s="874"/>
      <c r="F2" s="874"/>
      <c r="G2" s="874"/>
      <c r="H2" s="874"/>
      <c r="I2" s="874"/>
      <c r="J2" s="874"/>
      <c r="K2" s="874"/>
      <c r="L2" s="874"/>
      <c r="M2" s="874"/>
    </row>
    <row r="3" spans="1:13" ht="36.75" customHeight="1" thickBot="1">
      <c r="A3" s="875"/>
      <c r="B3" s="875"/>
      <c r="C3" s="875"/>
      <c r="D3" s="875"/>
      <c r="E3" s="875"/>
      <c r="F3" s="875"/>
      <c r="G3" s="875"/>
      <c r="H3" s="875"/>
      <c r="I3" s="875"/>
      <c r="J3" s="875"/>
      <c r="K3" s="875"/>
      <c r="L3" s="875"/>
      <c r="M3" s="875"/>
    </row>
    <row r="4" spans="1:13" ht="15.75" customHeight="1">
      <c r="A4" s="876" t="s">
        <v>530</v>
      </c>
      <c r="B4" s="878" t="s">
        <v>531</v>
      </c>
      <c r="C4" s="880" t="s">
        <v>532</v>
      </c>
      <c r="D4" s="880"/>
      <c r="E4" s="880"/>
      <c r="F4" s="888" t="s">
        <v>538</v>
      </c>
      <c r="G4" s="881" t="s">
        <v>533</v>
      </c>
      <c r="H4" s="881"/>
      <c r="I4" s="881"/>
      <c r="J4" s="882" t="s">
        <v>534</v>
      </c>
      <c r="K4" s="882" t="s">
        <v>535</v>
      </c>
      <c r="L4" s="884" t="s">
        <v>536</v>
      </c>
      <c r="M4" s="886" t="s">
        <v>535</v>
      </c>
    </row>
    <row r="5" spans="1:13" ht="66.75" customHeight="1" thickBot="1">
      <c r="A5" s="877"/>
      <c r="B5" s="879"/>
      <c r="C5" s="673" t="s">
        <v>41</v>
      </c>
      <c r="D5" s="673" t="s">
        <v>537</v>
      </c>
      <c r="E5" s="673" t="s">
        <v>780</v>
      </c>
      <c r="F5" s="889"/>
      <c r="G5" s="674" t="s">
        <v>41</v>
      </c>
      <c r="H5" s="675" t="s">
        <v>539</v>
      </c>
      <c r="I5" s="675" t="s">
        <v>8</v>
      </c>
      <c r="J5" s="883"/>
      <c r="K5" s="883"/>
      <c r="L5" s="885"/>
      <c r="M5" s="887"/>
    </row>
    <row r="6" spans="1:13" ht="24" customHeight="1" thickBot="1">
      <c r="A6" s="864" t="s">
        <v>540</v>
      </c>
      <c r="B6" s="865"/>
      <c r="C6" s="865"/>
      <c r="D6" s="865"/>
      <c r="E6" s="865"/>
      <c r="F6" s="865"/>
      <c r="G6" s="865"/>
      <c r="H6" s="865"/>
      <c r="I6" s="865"/>
      <c r="J6" s="865"/>
      <c r="K6" s="865"/>
      <c r="L6" s="865"/>
      <c r="M6" s="866"/>
    </row>
    <row r="7" spans="1:13">
      <c r="A7" s="867" t="s">
        <v>541</v>
      </c>
      <c r="B7" s="868"/>
      <c r="C7" s="868"/>
      <c r="D7" s="868"/>
      <c r="E7" s="868"/>
      <c r="F7" s="868"/>
      <c r="G7" s="868"/>
      <c r="H7" s="868"/>
      <c r="I7" s="868"/>
      <c r="J7" s="868"/>
      <c r="K7" s="868"/>
      <c r="L7" s="868"/>
      <c r="M7" s="869"/>
    </row>
    <row r="8" spans="1:13" ht="16.5" thickBot="1">
      <c r="A8" s="373" t="s">
        <v>542</v>
      </c>
      <c r="B8" s="374">
        <f>C8+D8+E8+F8</f>
        <v>207.8</v>
      </c>
      <c r="C8" s="375">
        <v>148.4</v>
      </c>
      <c r="D8" s="375">
        <v>2.2000000000000002</v>
      </c>
      <c r="E8" s="375">
        <v>57.2</v>
      </c>
      <c r="F8" s="376"/>
      <c r="G8" s="377"/>
      <c r="H8" s="377"/>
      <c r="I8" s="377"/>
      <c r="J8" s="378">
        <v>2</v>
      </c>
      <c r="K8" s="379" t="s">
        <v>543</v>
      </c>
      <c r="L8" s="380"/>
      <c r="M8" s="381"/>
    </row>
    <row r="9" spans="1:13">
      <c r="A9" s="861" t="s">
        <v>544</v>
      </c>
      <c r="B9" s="862"/>
      <c r="C9" s="862"/>
      <c r="D9" s="862"/>
      <c r="E9" s="862"/>
      <c r="F9" s="862"/>
      <c r="G9" s="862"/>
      <c r="H9" s="862"/>
      <c r="I9" s="862"/>
      <c r="J9" s="862"/>
      <c r="K9" s="862"/>
      <c r="L9" s="862"/>
      <c r="M9" s="863"/>
    </row>
    <row r="10" spans="1:13">
      <c r="A10" s="373" t="s">
        <v>542</v>
      </c>
      <c r="B10" s="374">
        <f>SUM(C10:E10)</f>
        <v>313.60000000000002</v>
      </c>
      <c r="C10" s="375">
        <v>244.3</v>
      </c>
      <c r="D10" s="375">
        <v>3.5</v>
      </c>
      <c r="E10" s="375">
        <v>65.8</v>
      </c>
      <c r="F10" s="375"/>
      <c r="G10" s="382"/>
      <c r="H10" s="377"/>
      <c r="I10" s="377"/>
      <c r="J10" s="383"/>
      <c r="K10" s="384"/>
      <c r="L10" s="380"/>
      <c r="M10" s="381"/>
    </row>
    <row r="11" spans="1:13">
      <c r="A11" s="373"/>
      <c r="B11" s="374"/>
      <c r="C11" s="375"/>
      <c r="D11" s="375"/>
      <c r="E11" s="375"/>
      <c r="F11" s="375"/>
      <c r="G11" s="382"/>
      <c r="H11" s="377"/>
      <c r="I11" s="377"/>
      <c r="J11" s="383"/>
      <c r="K11" s="384"/>
      <c r="L11" s="380"/>
      <c r="M11" s="381"/>
    </row>
    <row r="12" spans="1:13" ht="46.5" customHeight="1">
      <c r="A12" s="385" t="s">
        <v>545</v>
      </c>
      <c r="B12" s="386">
        <f>SUM(C12:F12)</f>
        <v>632.79999999999995</v>
      </c>
      <c r="C12" s="387">
        <f>365.4+29</f>
        <v>394.4</v>
      </c>
      <c r="D12" s="387">
        <f>5.3+0.4</f>
        <v>5.7</v>
      </c>
      <c r="E12" s="387">
        <v>226.1</v>
      </c>
      <c r="F12" s="387">
        <v>6.6</v>
      </c>
      <c r="G12" s="388">
        <f>C12/C10*100-100</f>
        <v>61.4408514121981</v>
      </c>
      <c r="H12" s="388">
        <f>((100*E12)/(E10+E8)-100)</f>
        <v>83.821138211382106</v>
      </c>
      <c r="I12" s="388">
        <f>((100*B12)/(B10+B8))-100</f>
        <v>21.365554276946654</v>
      </c>
      <c r="J12" s="389">
        <v>110.8</v>
      </c>
      <c r="K12" s="390" t="s">
        <v>793</v>
      </c>
      <c r="L12" s="391"/>
      <c r="M12" s="392"/>
    </row>
    <row r="13" spans="1:13" ht="18" customHeight="1" thickBot="1">
      <c r="A13" s="393"/>
      <c r="B13" s="394"/>
      <c r="C13" s="395"/>
      <c r="D13" s="395"/>
      <c r="E13" s="395"/>
      <c r="F13" s="395"/>
      <c r="G13" s="396"/>
      <c r="H13" s="396"/>
      <c r="I13" s="396"/>
      <c r="J13" s="397">
        <v>9.6</v>
      </c>
      <c r="K13" s="398" t="s">
        <v>546</v>
      </c>
      <c r="L13" s="399"/>
      <c r="M13" s="400"/>
    </row>
    <row r="14" spans="1:13">
      <c r="A14" s="870" t="s">
        <v>547</v>
      </c>
      <c r="B14" s="871"/>
      <c r="C14" s="871"/>
      <c r="D14" s="871"/>
      <c r="E14" s="871"/>
      <c r="F14" s="871"/>
      <c r="G14" s="871"/>
      <c r="H14" s="871"/>
      <c r="I14" s="871"/>
      <c r="J14" s="871"/>
      <c r="K14" s="871"/>
      <c r="L14" s="871"/>
      <c r="M14" s="872"/>
    </row>
    <row r="15" spans="1:13">
      <c r="A15" s="373" t="s">
        <v>542</v>
      </c>
      <c r="B15" s="401">
        <f>SUM(C15:E15)</f>
        <v>776.40000000000009</v>
      </c>
      <c r="C15" s="402">
        <v>533.20000000000005</v>
      </c>
      <c r="D15" s="402">
        <v>7.7</v>
      </c>
      <c r="E15" s="403">
        <v>235.5</v>
      </c>
      <c r="F15" s="403"/>
      <c r="G15" s="404"/>
      <c r="H15" s="405"/>
      <c r="I15" s="405"/>
      <c r="J15" s="378">
        <v>50</v>
      </c>
      <c r="K15" s="379" t="s">
        <v>548</v>
      </c>
      <c r="L15" s="380"/>
      <c r="M15" s="381"/>
    </row>
    <row r="16" spans="1:13">
      <c r="A16" s="373"/>
      <c r="B16" s="401"/>
      <c r="C16" s="375"/>
      <c r="D16" s="375"/>
      <c r="E16" s="375"/>
      <c r="F16" s="375"/>
      <c r="G16" s="382"/>
      <c r="H16" s="377"/>
      <c r="I16" s="377"/>
      <c r="J16" s="383"/>
      <c r="K16" s="384"/>
      <c r="L16" s="380"/>
      <c r="M16" s="381"/>
    </row>
    <row r="17" spans="1:13" ht="31.5">
      <c r="A17" s="385" t="s">
        <v>545</v>
      </c>
      <c r="B17" s="374">
        <f>SUM(C17:F17)</f>
        <v>904.3</v>
      </c>
      <c r="C17" s="387">
        <f>630.8+51.1</f>
        <v>681.9</v>
      </c>
      <c r="D17" s="387">
        <v>9.9</v>
      </c>
      <c r="E17" s="387">
        <v>200</v>
      </c>
      <c r="F17" s="387">
        <v>12.5</v>
      </c>
      <c r="G17" s="388">
        <f>C17/C15*100-100</f>
        <v>27.888222055513864</v>
      </c>
      <c r="H17" s="388">
        <f>((100*E17)/E15)-100</f>
        <v>-15.074309978768582</v>
      </c>
      <c r="I17" s="388">
        <f>((100*B17)/B15)-100</f>
        <v>16.473467284904672</v>
      </c>
      <c r="J17" s="406">
        <v>15</v>
      </c>
      <c r="K17" s="407" t="s">
        <v>549</v>
      </c>
      <c r="L17" s="391"/>
      <c r="M17" s="408"/>
    </row>
    <row r="18" spans="1:13">
      <c r="A18" s="385"/>
      <c r="B18" s="409"/>
      <c r="C18" s="410"/>
      <c r="D18" s="410"/>
      <c r="E18" s="410"/>
      <c r="F18" s="410"/>
      <c r="G18" s="411"/>
      <c r="H18" s="411"/>
      <c r="I18" s="411"/>
      <c r="J18" s="383">
        <v>3.3</v>
      </c>
      <c r="K18" s="688" t="s">
        <v>794</v>
      </c>
      <c r="L18" s="391"/>
      <c r="M18" s="408"/>
    </row>
    <row r="19" spans="1:13" ht="32.25" thickBot="1">
      <c r="A19" s="393"/>
      <c r="B19" s="412"/>
      <c r="C19" s="395"/>
      <c r="D19" s="395"/>
      <c r="E19" s="395"/>
      <c r="F19" s="395"/>
      <c r="G19" s="396"/>
      <c r="H19" s="396"/>
      <c r="I19" s="396"/>
      <c r="J19" s="397"/>
      <c r="K19" s="398" t="s">
        <v>550</v>
      </c>
      <c r="L19" s="399"/>
      <c r="M19" s="400"/>
    </row>
    <row r="20" spans="1:13">
      <c r="A20" s="873" t="s">
        <v>551</v>
      </c>
      <c r="B20" s="871"/>
      <c r="C20" s="871"/>
      <c r="D20" s="871"/>
      <c r="E20" s="871"/>
      <c r="F20" s="871"/>
      <c r="G20" s="871"/>
      <c r="H20" s="871"/>
      <c r="I20" s="871"/>
      <c r="J20" s="871"/>
      <c r="K20" s="871"/>
      <c r="L20" s="871"/>
      <c r="M20" s="872"/>
    </row>
    <row r="21" spans="1:13">
      <c r="A21" s="373" t="s">
        <v>542</v>
      </c>
      <c r="B21" s="401">
        <f>SUM(C21:J21)</f>
        <v>389.40000000000003</v>
      </c>
      <c r="C21" s="402">
        <v>281.8</v>
      </c>
      <c r="D21" s="402">
        <v>4.0999999999999996</v>
      </c>
      <c r="E21" s="402">
        <v>103.5</v>
      </c>
      <c r="F21" s="402"/>
      <c r="G21" s="404"/>
      <c r="H21" s="405"/>
      <c r="I21" s="405"/>
      <c r="J21" s="378"/>
      <c r="K21" s="379"/>
      <c r="L21" s="380"/>
      <c r="M21" s="381"/>
    </row>
    <row r="22" spans="1:13">
      <c r="A22" s="373"/>
      <c r="B22" s="401"/>
      <c r="C22" s="375"/>
      <c r="D22" s="375"/>
      <c r="E22" s="375"/>
      <c r="F22" s="375"/>
      <c r="G22" s="382"/>
      <c r="H22" s="377"/>
      <c r="I22" s="377"/>
      <c r="J22" s="383"/>
      <c r="K22" s="384"/>
      <c r="L22" s="380"/>
      <c r="M22" s="381"/>
    </row>
    <row r="23" spans="1:13" ht="31.5">
      <c r="A23" s="413" t="s">
        <v>545</v>
      </c>
      <c r="B23" s="374">
        <f>SUM(C23:F23)</f>
        <v>436.99999999999994</v>
      </c>
      <c r="C23" s="375">
        <v>292.5</v>
      </c>
      <c r="D23" s="375">
        <v>4.2</v>
      </c>
      <c r="E23" s="375">
        <v>140.1</v>
      </c>
      <c r="F23" s="375">
        <v>0.2</v>
      </c>
      <c r="G23" s="414">
        <f>C23/C21*100-100</f>
        <v>3.7970191625266096</v>
      </c>
      <c r="H23" s="414">
        <f>((100*E23)/E21)-100</f>
        <v>35.362318840579718</v>
      </c>
      <c r="I23" s="414">
        <f>((100*B23)/B21)-100</f>
        <v>12.223934257832539</v>
      </c>
      <c r="J23" s="383">
        <v>12.5</v>
      </c>
      <c r="K23" s="688" t="s">
        <v>794</v>
      </c>
      <c r="L23" s="688">
        <v>21.5</v>
      </c>
      <c r="M23" s="689" t="s">
        <v>783</v>
      </c>
    </row>
    <row r="24" spans="1:13">
      <c r="A24" s="413"/>
      <c r="B24" s="415"/>
      <c r="C24" s="376"/>
      <c r="D24" s="376"/>
      <c r="E24" s="376"/>
      <c r="F24" s="376"/>
      <c r="G24" s="377"/>
      <c r="H24" s="377"/>
      <c r="I24" s="377"/>
      <c r="J24" s="383">
        <v>0.7</v>
      </c>
      <c r="K24" s="384" t="s">
        <v>546</v>
      </c>
      <c r="L24" s="380"/>
      <c r="M24" s="381"/>
    </row>
    <row r="25" spans="1:13" ht="16.5" thickBot="1">
      <c r="A25" s="393"/>
      <c r="B25" s="394"/>
      <c r="C25" s="395"/>
      <c r="D25" s="395"/>
      <c r="E25" s="395"/>
      <c r="F25" s="395"/>
      <c r="G25" s="396"/>
      <c r="H25" s="396"/>
      <c r="I25" s="396"/>
      <c r="J25" s="416">
        <v>20</v>
      </c>
      <c r="K25" s="417" t="s">
        <v>552</v>
      </c>
      <c r="L25" s="399"/>
      <c r="M25" s="400"/>
    </row>
    <row r="26" spans="1:13">
      <c r="A26" s="870" t="s">
        <v>553</v>
      </c>
      <c r="B26" s="871"/>
      <c r="C26" s="871"/>
      <c r="D26" s="871"/>
      <c r="E26" s="871"/>
      <c r="F26" s="871"/>
      <c r="G26" s="871"/>
      <c r="H26" s="871"/>
      <c r="I26" s="871"/>
      <c r="J26" s="871"/>
      <c r="K26" s="871"/>
      <c r="L26" s="871"/>
      <c r="M26" s="872"/>
    </row>
    <row r="27" spans="1:13">
      <c r="A27" s="373" t="s">
        <v>542</v>
      </c>
      <c r="B27" s="401">
        <f>SUM(C27:J27)</f>
        <v>457.7</v>
      </c>
      <c r="C27" s="402">
        <v>336.3</v>
      </c>
      <c r="D27" s="402">
        <v>4.9000000000000004</v>
      </c>
      <c r="E27" s="402">
        <v>116.5</v>
      </c>
      <c r="F27" s="402"/>
      <c r="G27" s="404"/>
      <c r="H27" s="405"/>
      <c r="I27" s="405"/>
      <c r="J27" s="378"/>
      <c r="K27" s="379"/>
      <c r="L27" s="380"/>
      <c r="M27" s="381"/>
    </row>
    <row r="28" spans="1:13">
      <c r="A28" s="373"/>
      <c r="B28" s="401"/>
      <c r="C28" s="375"/>
      <c r="D28" s="375"/>
      <c r="E28" s="375"/>
      <c r="F28" s="375"/>
      <c r="G28" s="382"/>
      <c r="H28" s="377"/>
      <c r="I28" s="377"/>
      <c r="J28" s="383"/>
      <c r="K28" s="384"/>
      <c r="L28" s="380"/>
      <c r="M28" s="381"/>
    </row>
    <row r="29" spans="1:13" ht="32.25" thickBot="1">
      <c r="A29" s="393" t="s">
        <v>545</v>
      </c>
      <c r="B29" s="374">
        <f>SUM(C29:F29)</f>
        <v>542.1</v>
      </c>
      <c r="C29" s="418">
        <v>351.9</v>
      </c>
      <c r="D29" s="418">
        <v>5.0999999999999996</v>
      </c>
      <c r="E29" s="418">
        <v>172.9</v>
      </c>
      <c r="F29" s="418">
        <v>12.2</v>
      </c>
      <c r="G29" s="419">
        <f>C29/C27*100-100</f>
        <v>4.6387154326494198</v>
      </c>
      <c r="H29" s="419">
        <f>((100*E29)/E27)-100</f>
        <v>48.412017167381975</v>
      </c>
      <c r="I29" s="419">
        <f>((100*B29)/B27)-100</f>
        <v>18.440026218046754</v>
      </c>
      <c r="J29" s="383">
        <v>69.2</v>
      </c>
      <c r="K29" s="384" t="s">
        <v>554</v>
      </c>
      <c r="L29" s="399">
        <v>17.3</v>
      </c>
      <c r="M29" s="438" t="s">
        <v>784</v>
      </c>
    </row>
    <row r="30" spans="1:13">
      <c r="A30" s="861" t="s">
        <v>555</v>
      </c>
      <c r="B30" s="862"/>
      <c r="C30" s="862"/>
      <c r="D30" s="862"/>
      <c r="E30" s="862"/>
      <c r="F30" s="862"/>
      <c r="G30" s="862"/>
      <c r="H30" s="862"/>
      <c r="I30" s="862"/>
      <c r="J30" s="862"/>
      <c r="K30" s="862"/>
      <c r="L30" s="862"/>
      <c r="M30" s="863"/>
    </row>
    <row r="31" spans="1:13">
      <c r="A31" s="373" t="s">
        <v>542</v>
      </c>
      <c r="B31" s="401">
        <f>SUM(C31:E31)</f>
        <v>371.5</v>
      </c>
      <c r="C31" s="402">
        <v>273.10000000000002</v>
      </c>
      <c r="D31" s="402">
        <v>4</v>
      </c>
      <c r="E31" s="402">
        <v>94.4</v>
      </c>
      <c r="F31" s="402"/>
      <c r="G31" s="404"/>
      <c r="H31" s="405"/>
      <c r="I31" s="405"/>
      <c r="J31" s="378"/>
      <c r="K31" s="379"/>
      <c r="L31" s="380"/>
      <c r="M31" s="381"/>
    </row>
    <row r="32" spans="1:13">
      <c r="A32" s="373"/>
      <c r="B32" s="401"/>
      <c r="C32" s="375"/>
      <c r="D32" s="375"/>
      <c r="E32" s="375"/>
      <c r="F32" s="375"/>
      <c r="G32" s="382"/>
      <c r="H32" s="377"/>
      <c r="I32" s="377"/>
      <c r="J32" s="383"/>
      <c r="K32" s="384"/>
      <c r="L32" s="380"/>
      <c r="M32" s="381"/>
    </row>
    <row r="33" spans="1:13" ht="32.25" thickBot="1">
      <c r="A33" s="393" t="s">
        <v>545</v>
      </c>
      <c r="B33" s="374">
        <f>SUM(C33:F33)</f>
        <v>406.90000000000009</v>
      </c>
      <c r="C33" s="418">
        <v>295.60000000000002</v>
      </c>
      <c r="D33" s="418">
        <v>4.3</v>
      </c>
      <c r="E33" s="418">
        <v>103.9</v>
      </c>
      <c r="F33" s="418">
        <v>3.1</v>
      </c>
      <c r="G33" s="419">
        <f>C33/C31*100-100</f>
        <v>8.2387403881362076</v>
      </c>
      <c r="H33" s="419">
        <f>((100*E33)/E31)-100</f>
        <v>10.063559322033896</v>
      </c>
      <c r="I33" s="419">
        <f>((100*B33)/B31)-100</f>
        <v>9.5289367429340643</v>
      </c>
      <c r="J33" s="397">
        <v>5.5</v>
      </c>
      <c r="K33" s="690" t="s">
        <v>798</v>
      </c>
      <c r="L33" s="690">
        <v>17.3</v>
      </c>
      <c r="M33" s="438" t="s">
        <v>784</v>
      </c>
    </row>
    <row r="34" spans="1:13">
      <c r="A34" s="861" t="s">
        <v>556</v>
      </c>
      <c r="B34" s="862"/>
      <c r="C34" s="862"/>
      <c r="D34" s="862"/>
      <c r="E34" s="862"/>
      <c r="F34" s="862"/>
      <c r="G34" s="862"/>
      <c r="H34" s="862"/>
      <c r="I34" s="862"/>
      <c r="J34" s="862"/>
      <c r="K34" s="862"/>
      <c r="L34" s="862"/>
      <c r="M34" s="863"/>
    </row>
    <row r="35" spans="1:13">
      <c r="A35" s="373" t="s">
        <v>542</v>
      </c>
      <c r="B35" s="401">
        <f>SUM(C35:J35)</f>
        <v>41.1</v>
      </c>
      <c r="C35" s="420">
        <v>25.1</v>
      </c>
      <c r="D35" s="420">
        <v>0.4</v>
      </c>
      <c r="E35" s="420">
        <v>15.6</v>
      </c>
      <c r="F35" s="420"/>
      <c r="G35" s="421"/>
      <c r="H35" s="421"/>
      <c r="I35" s="421"/>
      <c r="J35" s="378"/>
      <c r="K35" s="379"/>
      <c r="L35" s="380"/>
      <c r="M35" s="381"/>
    </row>
    <row r="36" spans="1:13">
      <c r="A36" s="373"/>
      <c r="B36" s="401"/>
      <c r="C36" s="375"/>
      <c r="D36" s="375"/>
      <c r="E36" s="375"/>
      <c r="F36" s="376"/>
      <c r="G36" s="421"/>
      <c r="H36" s="377"/>
      <c r="I36" s="377"/>
      <c r="J36" s="383"/>
      <c r="K36" s="384"/>
      <c r="L36" s="380"/>
      <c r="M36" s="381"/>
    </row>
    <row r="37" spans="1:13" ht="32.25" thickBot="1">
      <c r="A37" s="393" t="s">
        <v>545</v>
      </c>
      <c r="B37" s="374">
        <f>SUM(C37:F37)</f>
        <v>94.9</v>
      </c>
      <c r="C37" s="422">
        <v>77.400000000000006</v>
      </c>
      <c r="D37" s="422">
        <v>1.1000000000000001</v>
      </c>
      <c r="E37" s="418">
        <v>16.399999999999999</v>
      </c>
      <c r="F37" s="410"/>
      <c r="G37" s="423">
        <f>C37/C35*100-100</f>
        <v>208.36653386454185</v>
      </c>
      <c r="H37" s="419">
        <f>((100*E37)/E35)-100</f>
        <v>5.12820512820511</v>
      </c>
      <c r="I37" s="419">
        <f>((100*B37)/B35)-100</f>
        <v>130.90024330900243</v>
      </c>
      <c r="J37" s="424">
        <v>54.3</v>
      </c>
      <c r="K37" s="425" t="s">
        <v>557</v>
      </c>
      <c r="L37" s="399"/>
      <c r="M37" s="400"/>
    </row>
    <row r="38" spans="1:13">
      <c r="A38" s="861" t="s">
        <v>558</v>
      </c>
      <c r="B38" s="862"/>
      <c r="C38" s="862"/>
      <c r="D38" s="862"/>
      <c r="E38" s="862"/>
      <c r="F38" s="862"/>
      <c r="G38" s="862"/>
      <c r="H38" s="862"/>
      <c r="I38" s="862"/>
      <c r="J38" s="862"/>
      <c r="K38" s="862"/>
      <c r="L38" s="862"/>
      <c r="M38" s="863"/>
    </row>
    <row r="39" spans="1:13">
      <c r="A39" s="373" t="s">
        <v>542</v>
      </c>
      <c r="B39" s="401">
        <f>SUM(C39:E39)</f>
        <v>1632.21</v>
      </c>
      <c r="C39" s="426">
        <v>1200.5999999999999</v>
      </c>
      <c r="D39" s="426">
        <v>17.41</v>
      </c>
      <c r="E39" s="420">
        <v>414.2</v>
      </c>
      <c r="F39" s="420"/>
      <c r="G39" s="421"/>
      <c r="H39" s="421"/>
      <c r="I39" s="421"/>
      <c r="J39" s="378">
        <v>5</v>
      </c>
      <c r="K39" s="379" t="s">
        <v>559</v>
      </c>
      <c r="L39" s="380"/>
      <c r="M39" s="381"/>
    </row>
    <row r="40" spans="1:13">
      <c r="A40" s="373"/>
      <c r="B40" s="401"/>
      <c r="C40" s="426"/>
      <c r="D40" s="426"/>
      <c r="E40" s="420"/>
      <c r="F40" s="420"/>
      <c r="G40" s="421"/>
      <c r="H40" s="421"/>
      <c r="I40" s="421"/>
      <c r="J40" s="427">
        <v>85</v>
      </c>
      <c r="K40" s="379" t="s">
        <v>560</v>
      </c>
      <c r="L40" s="380"/>
      <c r="M40" s="381"/>
    </row>
    <row r="41" spans="1:13">
      <c r="A41" s="373"/>
      <c r="B41" s="401"/>
      <c r="C41" s="375"/>
      <c r="D41" s="375"/>
      <c r="E41" s="375"/>
      <c r="F41" s="375"/>
      <c r="G41" s="421"/>
      <c r="H41" s="377"/>
      <c r="I41" s="377"/>
      <c r="J41" s="378">
        <v>75</v>
      </c>
      <c r="K41" s="384" t="s">
        <v>561</v>
      </c>
      <c r="L41" s="380"/>
      <c r="M41" s="381"/>
    </row>
    <row r="42" spans="1:13" ht="32.25" thickBot="1">
      <c r="A42" s="393" t="s">
        <v>545</v>
      </c>
      <c r="B42" s="374">
        <f>SUM(C42:F42)</f>
        <v>1350.4</v>
      </c>
      <c r="C42" s="418">
        <f>948.7+109</f>
        <v>1057.7</v>
      </c>
      <c r="D42" s="418">
        <v>15.3</v>
      </c>
      <c r="E42" s="418">
        <v>262</v>
      </c>
      <c r="F42" s="387">
        <v>15.4</v>
      </c>
      <c r="G42" s="423">
        <f>C42/C39*100-100</f>
        <v>-11.902382142262198</v>
      </c>
      <c r="H42" s="419">
        <f>((100*E42)/E39)-100</f>
        <v>-36.745533558667312</v>
      </c>
      <c r="I42" s="419">
        <f>((100*B42)/B39)-100</f>
        <v>-17.265547938071691</v>
      </c>
      <c r="J42" s="397"/>
      <c r="K42" s="428"/>
      <c r="L42" s="429"/>
      <c r="M42" s="430" t="s">
        <v>562</v>
      </c>
    </row>
    <row r="43" spans="1:13">
      <c r="A43" s="861" t="s">
        <v>563</v>
      </c>
      <c r="B43" s="862"/>
      <c r="C43" s="862"/>
      <c r="D43" s="862"/>
      <c r="E43" s="862"/>
      <c r="F43" s="862"/>
      <c r="G43" s="862"/>
      <c r="H43" s="862"/>
      <c r="I43" s="862"/>
      <c r="J43" s="862"/>
      <c r="K43" s="862"/>
      <c r="L43" s="862"/>
      <c r="M43" s="863"/>
    </row>
    <row r="44" spans="1:13">
      <c r="A44" s="373" t="s">
        <v>542</v>
      </c>
      <c r="B44" s="431">
        <f>SUM(C44:E44)</f>
        <v>566.29999999999995</v>
      </c>
      <c r="C44" s="426">
        <v>494</v>
      </c>
      <c r="D44" s="426">
        <v>7.2</v>
      </c>
      <c r="E44" s="432">
        <v>65.099999999999994</v>
      </c>
      <c r="F44" s="432"/>
      <c r="G44" s="433"/>
      <c r="H44" s="434"/>
      <c r="I44" s="434"/>
      <c r="J44" s="378"/>
      <c r="K44" s="379"/>
      <c r="L44" s="380"/>
      <c r="M44" s="381"/>
    </row>
    <row r="45" spans="1:13">
      <c r="A45" s="373"/>
      <c r="B45" s="431"/>
      <c r="C45" s="375"/>
      <c r="D45" s="375"/>
      <c r="E45" s="375"/>
      <c r="F45" s="375"/>
      <c r="G45" s="414"/>
      <c r="H45" s="414"/>
      <c r="I45" s="414"/>
      <c r="J45" s="383"/>
      <c r="K45" s="384"/>
      <c r="L45" s="380"/>
      <c r="M45" s="381"/>
    </row>
    <row r="46" spans="1:13" ht="32.25" thickBot="1">
      <c r="A46" s="393" t="s">
        <v>545</v>
      </c>
      <c r="B46" s="374">
        <f>SUM(C46:F46)</f>
        <v>652.30000000000007</v>
      </c>
      <c r="C46" s="418">
        <f>536.2+31.1</f>
        <v>567.30000000000007</v>
      </c>
      <c r="D46" s="418">
        <f>7.8+0.5</f>
        <v>8.3000000000000007</v>
      </c>
      <c r="E46" s="418">
        <v>73.2</v>
      </c>
      <c r="F46" s="418">
        <v>3.5</v>
      </c>
      <c r="G46" s="419">
        <f>C46/C44*100-100</f>
        <v>14.838056680161955</v>
      </c>
      <c r="H46" s="419">
        <f>((100*E46)/E44)-100</f>
        <v>12.442396313364071</v>
      </c>
      <c r="I46" s="419">
        <f>((100*B46)/B44)-100</f>
        <v>15.186297015716079</v>
      </c>
      <c r="J46" s="397">
        <v>7.5</v>
      </c>
      <c r="K46" s="417" t="s">
        <v>564</v>
      </c>
      <c r="L46" s="399"/>
      <c r="M46" s="438" t="s">
        <v>785</v>
      </c>
    </row>
    <row r="47" spans="1:13">
      <c r="A47" s="861" t="s">
        <v>565</v>
      </c>
      <c r="B47" s="862"/>
      <c r="C47" s="862"/>
      <c r="D47" s="862"/>
      <c r="E47" s="862"/>
      <c r="F47" s="862"/>
      <c r="G47" s="862"/>
      <c r="H47" s="862"/>
      <c r="I47" s="862"/>
      <c r="J47" s="862"/>
      <c r="K47" s="862"/>
      <c r="L47" s="862"/>
      <c r="M47" s="863"/>
    </row>
    <row r="48" spans="1:13">
      <c r="A48" s="373" t="s">
        <v>542</v>
      </c>
      <c r="B48" s="431">
        <f>SUM(C48:E48)</f>
        <v>850.1</v>
      </c>
      <c r="C48" s="426">
        <v>773.6</v>
      </c>
      <c r="D48" s="426">
        <v>11.2</v>
      </c>
      <c r="E48" s="432">
        <v>65.3</v>
      </c>
      <c r="F48" s="432"/>
      <c r="G48" s="433"/>
      <c r="H48" s="434"/>
      <c r="I48" s="434"/>
      <c r="J48" s="378">
        <v>2.2999999999999998</v>
      </c>
      <c r="K48" s="379" t="s">
        <v>566</v>
      </c>
      <c r="L48" s="380"/>
      <c r="M48" s="381"/>
    </row>
    <row r="49" spans="1:13">
      <c r="A49" s="373"/>
      <c r="B49" s="431"/>
      <c r="C49" s="375"/>
      <c r="D49" s="375"/>
      <c r="E49" s="375"/>
      <c r="F49" s="375"/>
      <c r="G49" s="414"/>
      <c r="H49" s="414"/>
      <c r="I49" s="414"/>
      <c r="J49" s="383"/>
      <c r="K49" s="384"/>
      <c r="L49" s="380"/>
      <c r="M49" s="381"/>
    </row>
    <row r="50" spans="1:13" ht="32.25" thickBot="1">
      <c r="A50" s="393" t="s">
        <v>545</v>
      </c>
      <c r="B50" s="374">
        <f>SUM(C50:F50)</f>
        <v>809.7</v>
      </c>
      <c r="C50" s="418">
        <v>730.4</v>
      </c>
      <c r="D50" s="418">
        <f>9.9+0.8</f>
        <v>10.700000000000001</v>
      </c>
      <c r="E50" s="418">
        <v>64.900000000000006</v>
      </c>
      <c r="F50" s="418">
        <v>3.7</v>
      </c>
      <c r="G50" s="419">
        <f>C50/C48*100-100</f>
        <v>-5.5842812823164536</v>
      </c>
      <c r="H50" s="419">
        <f>((100*E50)/E48)-100</f>
        <v>-0.61255742725879259</v>
      </c>
      <c r="I50" s="419">
        <f>((100*B50)/B48)-100</f>
        <v>-4.7523820726973298</v>
      </c>
      <c r="J50" s="416">
        <v>5</v>
      </c>
      <c r="K50" s="398" t="s">
        <v>564</v>
      </c>
      <c r="L50" s="399"/>
      <c r="M50" s="691" t="s">
        <v>786</v>
      </c>
    </row>
    <row r="51" spans="1:13">
      <c r="A51" s="861" t="s">
        <v>567</v>
      </c>
      <c r="B51" s="862"/>
      <c r="C51" s="862"/>
      <c r="D51" s="862"/>
      <c r="E51" s="862"/>
      <c r="F51" s="862"/>
      <c r="G51" s="862"/>
      <c r="H51" s="862"/>
      <c r="I51" s="862"/>
      <c r="J51" s="862"/>
      <c r="K51" s="862"/>
      <c r="L51" s="862"/>
      <c r="M51" s="863"/>
    </row>
    <row r="52" spans="1:13">
      <c r="A52" s="373" t="s">
        <v>542</v>
      </c>
      <c r="B52" s="431">
        <f>SUM(C52:E52)</f>
        <v>856.30000000000007</v>
      </c>
      <c r="C52" s="426">
        <v>750.7</v>
      </c>
      <c r="D52" s="426">
        <v>10.9</v>
      </c>
      <c r="E52" s="432">
        <v>94.7</v>
      </c>
      <c r="F52" s="432"/>
      <c r="G52" s="433"/>
      <c r="H52" s="434"/>
      <c r="I52" s="434"/>
      <c r="J52" s="378"/>
      <c r="K52" s="379"/>
      <c r="L52" s="380"/>
      <c r="M52" s="381"/>
    </row>
    <row r="53" spans="1:13">
      <c r="A53" s="373"/>
      <c r="B53" s="431"/>
      <c r="C53" s="375"/>
      <c r="D53" s="375"/>
      <c r="E53" s="375"/>
      <c r="F53" s="375"/>
      <c r="G53" s="414"/>
      <c r="H53" s="414"/>
      <c r="I53" s="414"/>
      <c r="J53" s="383"/>
      <c r="K53" s="384"/>
      <c r="L53" s="380"/>
      <c r="M53" s="381"/>
    </row>
    <row r="54" spans="1:13" ht="32.25" thickBot="1">
      <c r="A54" s="393" t="s">
        <v>545</v>
      </c>
      <c r="B54" s="374">
        <f>SUM(C54:F54)</f>
        <v>1018.8999999999999</v>
      </c>
      <c r="C54" s="418">
        <f>868.3+22.8</f>
        <v>891.09999999999991</v>
      </c>
      <c r="D54" s="418">
        <f>12.6+0.3</f>
        <v>12.9</v>
      </c>
      <c r="E54" s="418">
        <v>104.1</v>
      </c>
      <c r="F54" s="418">
        <v>10.8</v>
      </c>
      <c r="G54" s="419">
        <f>C54/C52*100-100</f>
        <v>18.702544291994116</v>
      </c>
      <c r="H54" s="419">
        <f>((100*E54)/E52)-100</f>
        <v>9.9260823653643087</v>
      </c>
      <c r="I54" s="419">
        <f>((100*B54)/B52)-100</f>
        <v>18.988672194324394</v>
      </c>
      <c r="J54" s="397">
        <v>7.5</v>
      </c>
      <c r="K54" s="417" t="s">
        <v>564</v>
      </c>
      <c r="L54" s="399"/>
      <c r="M54" s="400"/>
    </row>
    <row r="55" spans="1:13">
      <c r="A55" s="861" t="s">
        <v>568</v>
      </c>
      <c r="B55" s="862"/>
      <c r="C55" s="862"/>
      <c r="D55" s="862"/>
      <c r="E55" s="862"/>
      <c r="F55" s="862"/>
      <c r="G55" s="862"/>
      <c r="H55" s="862"/>
      <c r="I55" s="862"/>
      <c r="J55" s="862"/>
      <c r="K55" s="862"/>
      <c r="L55" s="862"/>
      <c r="M55" s="863"/>
    </row>
    <row r="56" spans="1:13">
      <c r="A56" s="373" t="s">
        <v>542</v>
      </c>
      <c r="B56" s="431">
        <f>SUM(C56:E56)</f>
        <v>775.30000000000007</v>
      </c>
      <c r="C56" s="426">
        <v>671.1</v>
      </c>
      <c r="D56" s="426">
        <v>9.6999999999999993</v>
      </c>
      <c r="E56" s="432">
        <v>94.5</v>
      </c>
      <c r="F56" s="432"/>
      <c r="G56" s="433"/>
      <c r="H56" s="434"/>
      <c r="I56" s="434"/>
      <c r="J56" s="378"/>
      <c r="K56" s="379"/>
      <c r="L56" s="380"/>
      <c r="M56" s="381"/>
    </row>
    <row r="57" spans="1:13">
      <c r="A57" s="373"/>
      <c r="B57" s="431"/>
      <c r="C57" s="375"/>
      <c r="D57" s="375"/>
      <c r="E57" s="375"/>
      <c r="F57" s="375"/>
      <c r="G57" s="414"/>
      <c r="H57" s="414"/>
      <c r="I57" s="414"/>
      <c r="J57" s="383"/>
      <c r="K57" s="384"/>
      <c r="L57" s="380"/>
      <c r="M57" s="381"/>
    </row>
    <row r="58" spans="1:13" ht="32.25" thickBot="1">
      <c r="A58" s="393" t="s">
        <v>545</v>
      </c>
      <c r="B58" s="374">
        <f>SUM(C58:F58)</f>
        <v>846.5</v>
      </c>
      <c r="C58" s="435">
        <f>696.1+32.5</f>
        <v>728.6</v>
      </c>
      <c r="D58" s="418">
        <f>10.1+0.5</f>
        <v>10.6</v>
      </c>
      <c r="E58" s="418">
        <v>99.3</v>
      </c>
      <c r="F58" s="418">
        <v>8</v>
      </c>
      <c r="G58" s="419">
        <f>C58/C56*100-100</f>
        <v>8.5680226493816178</v>
      </c>
      <c r="H58" s="419">
        <f>((100*E58)/E56)-100</f>
        <v>5.0793650793650755</v>
      </c>
      <c r="I58" s="419">
        <f>((100*B58)/B56)-100</f>
        <v>9.1835418547658918</v>
      </c>
      <c r="J58" s="416">
        <v>5</v>
      </c>
      <c r="K58" s="398" t="s">
        <v>564</v>
      </c>
      <c r="L58" s="399"/>
      <c r="M58" s="400" t="s">
        <v>569</v>
      </c>
    </row>
    <row r="59" spans="1:13">
      <c r="A59" s="861" t="s">
        <v>570</v>
      </c>
      <c r="B59" s="862"/>
      <c r="C59" s="862"/>
      <c r="D59" s="862"/>
      <c r="E59" s="862"/>
      <c r="F59" s="862"/>
      <c r="G59" s="862"/>
      <c r="H59" s="862"/>
      <c r="I59" s="862"/>
      <c r="J59" s="862"/>
      <c r="K59" s="862"/>
      <c r="L59" s="862"/>
      <c r="M59" s="863"/>
    </row>
    <row r="60" spans="1:13">
      <c r="A60" s="373" t="s">
        <v>542</v>
      </c>
      <c r="B60" s="431">
        <f>SUM(C60:E60)</f>
        <v>686.3</v>
      </c>
      <c r="C60" s="426">
        <v>606.9</v>
      </c>
      <c r="D60" s="426">
        <v>8.8000000000000007</v>
      </c>
      <c r="E60" s="432">
        <v>70.599999999999994</v>
      </c>
      <c r="F60" s="432"/>
      <c r="G60" s="433"/>
      <c r="H60" s="434"/>
      <c r="I60" s="434"/>
      <c r="J60" s="378"/>
      <c r="K60" s="379"/>
      <c r="L60" s="380"/>
      <c r="M60" s="381"/>
    </row>
    <row r="61" spans="1:13">
      <c r="A61" s="373"/>
      <c r="B61" s="431"/>
      <c r="C61" s="375"/>
      <c r="D61" s="375"/>
      <c r="E61" s="375"/>
      <c r="F61" s="375"/>
      <c r="G61" s="414"/>
      <c r="H61" s="414"/>
      <c r="I61" s="414"/>
      <c r="J61" s="383"/>
      <c r="K61" s="384"/>
      <c r="L61" s="380"/>
      <c r="M61" s="381"/>
    </row>
    <row r="62" spans="1:13" ht="32.25" thickBot="1">
      <c r="A62" s="393" t="s">
        <v>545</v>
      </c>
      <c r="B62" s="374">
        <f>SUM(C62:F62)</f>
        <v>802</v>
      </c>
      <c r="C62" s="418">
        <f>701.5+10.4</f>
        <v>711.9</v>
      </c>
      <c r="D62" s="418">
        <f>10.2+0.2</f>
        <v>10.399999999999999</v>
      </c>
      <c r="E62" s="418">
        <v>74.7</v>
      </c>
      <c r="F62" s="418">
        <v>5</v>
      </c>
      <c r="G62" s="419">
        <f>C62/C60*100-100</f>
        <v>17.301038062283737</v>
      </c>
      <c r="H62" s="419">
        <f>((100*E62)/E60)-100</f>
        <v>5.8073654390934877</v>
      </c>
      <c r="I62" s="419">
        <f>((100*B62)/B60)-100</f>
        <v>16.858516683666039</v>
      </c>
      <c r="J62" s="416">
        <v>5</v>
      </c>
      <c r="K62" s="398" t="s">
        <v>564</v>
      </c>
      <c r="L62" s="399"/>
      <c r="M62" s="400"/>
    </row>
    <row r="63" spans="1:13">
      <c r="A63" s="861" t="s">
        <v>571</v>
      </c>
      <c r="B63" s="862"/>
      <c r="C63" s="862"/>
      <c r="D63" s="862"/>
      <c r="E63" s="862"/>
      <c r="F63" s="862"/>
      <c r="G63" s="862"/>
      <c r="H63" s="862"/>
      <c r="I63" s="862"/>
      <c r="J63" s="862"/>
      <c r="K63" s="862"/>
      <c r="L63" s="862"/>
      <c r="M63" s="863"/>
    </row>
    <row r="64" spans="1:13">
      <c r="A64" s="373" t="s">
        <v>542</v>
      </c>
      <c r="B64" s="431">
        <f>SUM(C64:E64)</f>
        <v>1015.9</v>
      </c>
      <c r="C64" s="426">
        <v>887.7</v>
      </c>
      <c r="D64" s="426">
        <v>12.9</v>
      </c>
      <c r="E64" s="432">
        <v>115.3</v>
      </c>
      <c r="F64" s="432"/>
      <c r="G64" s="433"/>
      <c r="H64" s="434"/>
      <c r="I64" s="434"/>
      <c r="J64" s="378"/>
      <c r="K64" s="379"/>
      <c r="L64" s="380"/>
      <c r="M64" s="381"/>
    </row>
    <row r="65" spans="1:13">
      <c r="A65" s="373"/>
      <c r="B65" s="431"/>
      <c r="C65" s="375"/>
      <c r="D65" s="375"/>
      <c r="E65" s="375"/>
      <c r="F65" s="375"/>
      <c r="G65" s="414"/>
      <c r="H65" s="414"/>
      <c r="I65" s="414"/>
      <c r="J65" s="383"/>
      <c r="K65" s="384"/>
      <c r="L65" s="380"/>
      <c r="M65" s="381"/>
    </row>
    <row r="66" spans="1:13" ht="31.5">
      <c r="A66" s="385" t="s">
        <v>545</v>
      </c>
      <c r="B66" s="374">
        <f>SUM(C66:F66)</f>
        <v>1229.7</v>
      </c>
      <c r="C66" s="387">
        <f>1033.7+48.8</f>
        <v>1082.5</v>
      </c>
      <c r="D66" s="387">
        <f>15+0.7</f>
        <v>15.7</v>
      </c>
      <c r="E66" s="387">
        <v>123.2</v>
      </c>
      <c r="F66" s="387">
        <v>8.3000000000000007</v>
      </c>
      <c r="G66" s="388">
        <f>C66/C64*100-100</f>
        <v>21.944350568885881</v>
      </c>
      <c r="H66" s="388">
        <f>((100*E66)/E64)-100</f>
        <v>6.8516912402428432</v>
      </c>
      <c r="I66" s="388">
        <f>((100*B66)/B64)-100</f>
        <v>21.045378482134069</v>
      </c>
      <c r="J66" s="406">
        <v>10</v>
      </c>
      <c r="K66" s="390" t="s">
        <v>564</v>
      </c>
      <c r="L66" s="391"/>
      <c r="M66" s="392"/>
    </row>
    <row r="67" spans="1:13" ht="16.5" thickBot="1">
      <c r="A67" s="393"/>
      <c r="B67" s="436"/>
      <c r="C67" s="418"/>
      <c r="D67" s="418"/>
      <c r="E67" s="418"/>
      <c r="F67" s="418"/>
      <c r="G67" s="419"/>
      <c r="H67" s="419"/>
      <c r="I67" s="419"/>
      <c r="J67" s="416">
        <v>2</v>
      </c>
      <c r="K67" s="398" t="s">
        <v>572</v>
      </c>
      <c r="L67" s="399"/>
      <c r="M67" s="400"/>
    </row>
    <row r="68" spans="1:13">
      <c r="A68" s="820" t="s">
        <v>573</v>
      </c>
      <c r="B68" s="821"/>
      <c r="C68" s="821"/>
      <c r="D68" s="821"/>
      <c r="E68" s="821"/>
      <c r="F68" s="821"/>
      <c r="G68" s="821"/>
      <c r="H68" s="821"/>
      <c r="I68" s="821"/>
      <c r="J68" s="821"/>
      <c r="K68" s="821"/>
      <c r="L68" s="821"/>
      <c r="M68" s="822"/>
    </row>
    <row r="69" spans="1:13">
      <c r="A69" s="373" t="s">
        <v>542</v>
      </c>
      <c r="B69" s="431">
        <f>SUM(C69:E69)</f>
        <v>1397.5</v>
      </c>
      <c r="C69" s="426">
        <v>1337.9</v>
      </c>
      <c r="D69" s="426">
        <v>19.5</v>
      </c>
      <c r="E69" s="420">
        <v>40.1</v>
      </c>
      <c r="F69" s="420"/>
      <c r="G69" s="423"/>
      <c r="H69" s="437"/>
      <c r="I69" s="437"/>
      <c r="J69" s="378"/>
      <c r="K69" s="379"/>
      <c r="L69" s="380"/>
      <c r="M69" s="381"/>
    </row>
    <row r="70" spans="1:13">
      <c r="A70" s="373"/>
      <c r="B70" s="431"/>
      <c r="C70" s="375"/>
      <c r="D70" s="375"/>
      <c r="E70" s="375"/>
      <c r="F70" s="375"/>
      <c r="G70" s="414"/>
      <c r="H70" s="414"/>
      <c r="I70" s="414"/>
      <c r="J70" s="383"/>
      <c r="K70" s="384"/>
      <c r="L70" s="380"/>
      <c r="M70" s="381"/>
    </row>
    <row r="71" spans="1:13" ht="32.25" thickBot="1">
      <c r="A71" s="393" t="s">
        <v>545</v>
      </c>
      <c r="B71" s="374">
        <f>SUM(C71:F71)</f>
        <v>1326.5000000000002</v>
      </c>
      <c r="C71" s="418">
        <v>1267.2</v>
      </c>
      <c r="D71" s="418">
        <v>18.399999999999999</v>
      </c>
      <c r="E71" s="418">
        <v>38.200000000000003</v>
      </c>
      <c r="F71" s="418">
        <v>2.7</v>
      </c>
      <c r="G71" s="419">
        <f>C71/C69*100-100</f>
        <v>-5.2844009268256258</v>
      </c>
      <c r="H71" s="419">
        <f>((100*E71)/E69)-100</f>
        <v>-4.7381546134663211</v>
      </c>
      <c r="I71" s="419">
        <f>((100*B71)/B69)-100</f>
        <v>-5.0805008944543602</v>
      </c>
      <c r="J71" s="397"/>
      <c r="K71" s="690" t="s">
        <v>787</v>
      </c>
      <c r="L71" s="399"/>
      <c r="M71" s="438"/>
    </row>
    <row r="72" spans="1:13">
      <c r="A72" s="845" t="s">
        <v>574</v>
      </c>
      <c r="B72" s="846"/>
      <c r="C72" s="846"/>
      <c r="D72" s="846"/>
      <c r="E72" s="846"/>
      <c r="F72" s="846"/>
      <c r="G72" s="846"/>
      <c r="H72" s="846"/>
      <c r="I72" s="846"/>
      <c r="J72" s="846"/>
      <c r="K72" s="846"/>
      <c r="L72" s="846"/>
      <c r="M72" s="847"/>
    </row>
    <row r="73" spans="1:13">
      <c r="A73" s="373" t="s">
        <v>542</v>
      </c>
      <c r="B73" s="401">
        <f>SUM(C73:E73)</f>
        <v>519</v>
      </c>
      <c r="C73" s="426">
        <v>500.5</v>
      </c>
      <c r="D73" s="426">
        <v>7.3</v>
      </c>
      <c r="E73" s="420">
        <v>11.2</v>
      </c>
      <c r="F73" s="420"/>
      <c r="G73" s="423"/>
      <c r="H73" s="437"/>
      <c r="I73" s="437"/>
      <c r="J73" s="378"/>
      <c r="K73" s="379"/>
      <c r="L73" s="380"/>
      <c r="M73" s="381"/>
    </row>
    <row r="74" spans="1:13">
      <c r="A74" s="373"/>
      <c r="B74" s="401"/>
      <c r="C74" s="375"/>
      <c r="D74" s="375"/>
      <c r="E74" s="375"/>
      <c r="F74" s="375"/>
      <c r="G74" s="414"/>
      <c r="H74" s="414"/>
      <c r="I74" s="414"/>
      <c r="J74" s="383"/>
      <c r="K74" s="384"/>
      <c r="L74" s="380"/>
      <c r="M74" s="381"/>
    </row>
    <row r="75" spans="1:13" ht="31.5">
      <c r="A75" s="385" t="s">
        <v>545</v>
      </c>
      <c r="B75" s="374">
        <f>SUM(C75:F75)</f>
        <v>630.9</v>
      </c>
      <c r="C75" s="387">
        <v>605.5</v>
      </c>
      <c r="D75" s="387">
        <v>8.8000000000000007</v>
      </c>
      <c r="E75" s="387">
        <v>16.600000000000001</v>
      </c>
      <c r="F75" s="387"/>
      <c r="G75" s="388">
        <f>C75/C73*100-100</f>
        <v>20.979020979020973</v>
      </c>
      <c r="H75" s="388">
        <f>((100*E75)/E73)-100</f>
        <v>48.214285714285751</v>
      </c>
      <c r="I75" s="388">
        <f>((100*B75)/B73)-100</f>
        <v>21.560693641618499</v>
      </c>
      <c r="J75" s="389"/>
      <c r="K75" s="692" t="s">
        <v>788</v>
      </c>
      <c r="L75" s="391"/>
      <c r="M75" s="392"/>
    </row>
    <row r="76" spans="1:13" ht="16.5" thickBot="1">
      <c r="A76" s="393"/>
      <c r="B76" s="412"/>
      <c r="C76" s="418"/>
      <c r="D76" s="418"/>
      <c r="E76" s="418"/>
      <c r="F76" s="418"/>
      <c r="G76" s="419"/>
      <c r="H76" s="419"/>
      <c r="I76" s="419"/>
      <c r="J76" s="416">
        <v>7</v>
      </c>
      <c r="K76" s="417" t="s">
        <v>575</v>
      </c>
      <c r="L76" s="399"/>
      <c r="M76" s="400"/>
    </row>
    <row r="77" spans="1:13">
      <c r="A77" s="820" t="s">
        <v>576</v>
      </c>
      <c r="B77" s="821"/>
      <c r="C77" s="821"/>
      <c r="D77" s="821"/>
      <c r="E77" s="821"/>
      <c r="F77" s="821"/>
      <c r="G77" s="821"/>
      <c r="H77" s="821"/>
      <c r="I77" s="821"/>
      <c r="J77" s="821"/>
      <c r="K77" s="821"/>
      <c r="L77" s="821"/>
      <c r="M77" s="822"/>
    </row>
    <row r="78" spans="1:13">
      <c r="A78" s="373" t="s">
        <v>542</v>
      </c>
      <c r="B78" s="401">
        <f>SUM(C78:E78)</f>
        <v>806.39999999999986</v>
      </c>
      <c r="C78" s="420">
        <v>652.79999999999995</v>
      </c>
      <c r="D78" s="420">
        <v>9.4</v>
      </c>
      <c r="E78" s="420">
        <v>144.19999999999999</v>
      </c>
      <c r="F78" s="420"/>
      <c r="G78" s="423"/>
      <c r="H78" s="437"/>
      <c r="I78" s="437"/>
      <c r="J78" s="378">
        <v>25</v>
      </c>
      <c r="K78" s="439" t="s">
        <v>577</v>
      </c>
      <c r="L78" s="440"/>
      <c r="M78" s="381"/>
    </row>
    <row r="79" spans="1:13">
      <c r="A79" s="373"/>
      <c r="B79" s="401"/>
      <c r="C79" s="420"/>
      <c r="D79" s="420"/>
      <c r="E79" s="420"/>
      <c r="F79" s="420"/>
      <c r="G79" s="423"/>
      <c r="H79" s="437"/>
      <c r="I79" s="437"/>
      <c r="J79" s="378">
        <v>1</v>
      </c>
      <c r="K79" s="439" t="s">
        <v>578</v>
      </c>
      <c r="L79" s="380"/>
      <c r="M79" s="381"/>
    </row>
    <row r="80" spans="1:13">
      <c r="A80" s="373"/>
      <c r="B80" s="401"/>
      <c r="C80" s="375"/>
      <c r="D80" s="375"/>
      <c r="E80" s="375"/>
      <c r="F80" s="375"/>
      <c r="G80" s="414"/>
      <c r="H80" s="414"/>
      <c r="I80" s="414"/>
      <c r="J80" s="378">
        <v>20</v>
      </c>
      <c r="K80" s="439" t="s">
        <v>579</v>
      </c>
      <c r="L80" s="380"/>
      <c r="M80" s="381"/>
    </row>
    <row r="81" spans="1:13" ht="35.25" customHeight="1">
      <c r="A81" s="413" t="s">
        <v>545</v>
      </c>
      <c r="B81" s="374">
        <f>SUM(C81:F81)</f>
        <v>1002.3000000000001</v>
      </c>
      <c r="C81" s="375">
        <v>887.2</v>
      </c>
      <c r="D81" s="375">
        <v>12.9</v>
      </c>
      <c r="E81" s="375">
        <v>101.1</v>
      </c>
      <c r="F81" s="375">
        <v>1.1000000000000001</v>
      </c>
      <c r="G81" s="414">
        <f>C81/C78*100-100</f>
        <v>35.906862745098039</v>
      </c>
      <c r="H81" s="414">
        <f>((100*E81)/E78)-100</f>
        <v>-29.889042995839105</v>
      </c>
      <c r="I81" s="414">
        <f>((100*B81)/B78)-100</f>
        <v>24.293154761904788</v>
      </c>
      <c r="J81" s="378">
        <v>10</v>
      </c>
      <c r="K81" s="439" t="s">
        <v>580</v>
      </c>
      <c r="L81" s="440">
        <v>35</v>
      </c>
      <c r="M81" s="441" t="s">
        <v>581</v>
      </c>
    </row>
    <row r="82" spans="1:13" ht="32.25" customHeight="1" thickBot="1">
      <c r="A82" s="442"/>
      <c r="B82" s="401"/>
      <c r="C82" s="443"/>
      <c r="D82" s="443"/>
      <c r="E82" s="443"/>
      <c r="F82" s="443"/>
      <c r="G82" s="444"/>
      <c r="H82" s="444"/>
      <c r="I82" s="444"/>
      <c r="J82" s="445">
        <v>143.69999999999999</v>
      </c>
      <c r="K82" s="693" t="s">
        <v>789</v>
      </c>
      <c r="L82" s="446"/>
      <c r="M82" s="447" t="s">
        <v>582</v>
      </c>
    </row>
    <row r="83" spans="1:13">
      <c r="A83" s="858" t="s">
        <v>583</v>
      </c>
      <c r="B83" s="859"/>
      <c r="C83" s="859"/>
      <c r="D83" s="859"/>
      <c r="E83" s="859"/>
      <c r="F83" s="859"/>
      <c r="G83" s="859"/>
      <c r="H83" s="859"/>
      <c r="I83" s="859"/>
      <c r="J83" s="859"/>
      <c r="K83" s="859"/>
      <c r="L83" s="859"/>
      <c r="M83" s="860"/>
    </row>
    <row r="84" spans="1:13">
      <c r="A84" s="373" t="s">
        <v>542</v>
      </c>
      <c r="B84" s="401">
        <f>SUM(C84:E84)</f>
        <v>250</v>
      </c>
      <c r="C84" s="420">
        <v>246.4</v>
      </c>
      <c r="D84" s="420">
        <v>3.6</v>
      </c>
      <c r="E84" s="375"/>
      <c r="F84" s="375"/>
      <c r="G84" s="414"/>
      <c r="H84" s="414"/>
      <c r="I84" s="414"/>
      <c r="J84" s="378"/>
      <c r="K84" s="379"/>
      <c r="L84" s="380"/>
      <c r="M84" s="381"/>
    </row>
    <row r="85" spans="1:13">
      <c r="A85" s="373"/>
      <c r="B85" s="374"/>
      <c r="C85" s="375"/>
      <c r="D85" s="375"/>
      <c r="E85" s="375"/>
      <c r="F85" s="375"/>
      <c r="G85" s="414"/>
      <c r="H85" s="414"/>
      <c r="I85" s="414"/>
      <c r="J85" s="383"/>
      <c r="K85" s="384"/>
      <c r="L85" s="380"/>
      <c r="M85" s="381"/>
    </row>
    <row r="86" spans="1:13" ht="32.25" thickBot="1">
      <c r="A86" s="393" t="s">
        <v>545</v>
      </c>
      <c r="B86" s="374">
        <f>SUM(C86:F86)</f>
        <v>161.80000000000001</v>
      </c>
      <c r="C86" s="416">
        <v>159.5</v>
      </c>
      <c r="D86" s="416">
        <v>2.2999999999999998</v>
      </c>
      <c r="E86" s="422"/>
      <c r="F86" s="422"/>
      <c r="G86" s="419">
        <f>C86/C84*100-100</f>
        <v>-35.267857142857139</v>
      </c>
      <c r="H86" s="414"/>
      <c r="I86" s="414">
        <f>((100*B86)/B84)-100</f>
        <v>-35.279999999999987</v>
      </c>
      <c r="J86" s="397"/>
      <c r="K86" s="417"/>
      <c r="L86" s="448">
        <v>88.2</v>
      </c>
      <c r="M86" s="400" t="s">
        <v>584</v>
      </c>
    </row>
    <row r="87" spans="1:13">
      <c r="A87" s="845" t="s">
        <v>585</v>
      </c>
      <c r="B87" s="846"/>
      <c r="C87" s="846"/>
      <c r="D87" s="846"/>
      <c r="E87" s="846"/>
      <c r="F87" s="846"/>
      <c r="G87" s="846"/>
      <c r="H87" s="846"/>
      <c r="I87" s="846"/>
      <c r="J87" s="846"/>
      <c r="K87" s="846"/>
      <c r="L87" s="846"/>
      <c r="M87" s="847"/>
    </row>
    <row r="88" spans="1:13">
      <c r="A88" s="373" t="s">
        <v>542</v>
      </c>
      <c r="B88" s="401">
        <f>SUM(C88:E88)</f>
        <v>0</v>
      </c>
      <c r="C88" s="420"/>
      <c r="D88" s="420"/>
      <c r="E88" s="375"/>
      <c r="F88" s="375"/>
      <c r="G88" s="414"/>
      <c r="H88" s="414"/>
      <c r="I88" s="414"/>
      <c r="J88" s="378"/>
      <c r="K88" s="379"/>
      <c r="L88" s="380"/>
      <c r="M88" s="381"/>
    </row>
    <row r="89" spans="1:13">
      <c r="A89" s="373"/>
      <c r="B89" s="374"/>
      <c r="C89" s="375"/>
      <c r="D89" s="375"/>
      <c r="E89" s="375"/>
      <c r="F89" s="375"/>
      <c r="G89" s="414"/>
      <c r="H89" s="414"/>
      <c r="I89" s="414"/>
      <c r="J89" s="383"/>
      <c r="K89" s="384"/>
      <c r="L89" s="380"/>
      <c r="M89" s="381"/>
    </row>
    <row r="90" spans="1:13" ht="31.5">
      <c r="A90" s="413" t="s">
        <v>545</v>
      </c>
      <c r="B90" s="374">
        <f>SUM(C90:F90)</f>
        <v>237</v>
      </c>
      <c r="C90" s="378">
        <v>56.2</v>
      </c>
      <c r="D90" s="378">
        <v>0.8</v>
      </c>
      <c r="E90" s="432">
        <v>180</v>
      </c>
      <c r="F90" s="432"/>
      <c r="G90" s="414"/>
      <c r="H90" s="414"/>
      <c r="I90" s="414"/>
      <c r="J90" s="449"/>
      <c r="K90" s="450"/>
      <c r="L90" s="380"/>
      <c r="M90" s="381"/>
    </row>
    <row r="91" spans="1:13" ht="16.5" thickBot="1">
      <c r="A91" s="413"/>
      <c r="B91" s="374"/>
      <c r="C91" s="375"/>
      <c r="D91" s="375"/>
      <c r="E91" s="375"/>
      <c r="F91" s="375"/>
      <c r="G91" s="414"/>
      <c r="H91" s="414"/>
      <c r="I91" s="414"/>
      <c r="J91" s="449"/>
      <c r="K91" s="450"/>
      <c r="L91" s="380"/>
      <c r="M91" s="381"/>
    </row>
    <row r="92" spans="1:13" ht="16.5" customHeight="1">
      <c r="A92" s="845" t="s">
        <v>586</v>
      </c>
      <c r="B92" s="846"/>
      <c r="C92" s="846"/>
      <c r="D92" s="846"/>
      <c r="E92" s="846"/>
      <c r="F92" s="846"/>
      <c r="G92" s="846"/>
      <c r="H92" s="846"/>
      <c r="I92" s="846"/>
      <c r="J92" s="846"/>
      <c r="K92" s="846"/>
      <c r="L92" s="846"/>
      <c r="M92" s="847"/>
    </row>
    <row r="93" spans="1:13">
      <c r="A93" s="373" t="s">
        <v>542</v>
      </c>
      <c r="B93" s="374">
        <f>SUM(C93:E93)</f>
        <v>35</v>
      </c>
      <c r="C93" s="375"/>
      <c r="D93" s="375"/>
      <c r="E93" s="375">
        <v>35</v>
      </c>
      <c r="F93" s="375"/>
      <c r="G93" s="414"/>
      <c r="H93" s="414"/>
      <c r="I93" s="414"/>
      <c r="J93" s="378"/>
      <c r="K93" s="379"/>
      <c r="L93" s="380"/>
      <c r="M93" s="381"/>
    </row>
    <row r="94" spans="1:13">
      <c r="A94" s="373"/>
      <c r="B94" s="374"/>
      <c r="C94" s="375"/>
      <c r="D94" s="375"/>
      <c r="E94" s="375"/>
      <c r="F94" s="375"/>
      <c r="G94" s="414"/>
      <c r="H94" s="414"/>
      <c r="I94" s="414"/>
      <c r="J94" s="383"/>
      <c r="K94" s="384"/>
      <c r="L94" s="380"/>
      <c r="M94" s="381"/>
    </row>
    <row r="95" spans="1:13" ht="31.5">
      <c r="A95" s="413" t="s">
        <v>545</v>
      </c>
      <c r="B95" s="374">
        <f>SUM(C95:F95)</f>
        <v>88</v>
      </c>
      <c r="C95" s="375"/>
      <c r="D95" s="375"/>
      <c r="E95" s="375">
        <v>88</v>
      </c>
      <c r="F95" s="375"/>
      <c r="G95" s="414"/>
      <c r="H95" s="414">
        <f>((100*E95)/E93)-100</f>
        <v>151.42857142857142</v>
      </c>
      <c r="I95" s="414">
        <f>((100*B95)/B93)-100</f>
        <v>151.42857142857142</v>
      </c>
      <c r="J95" s="383"/>
      <c r="K95" s="384" t="s">
        <v>587</v>
      </c>
      <c r="L95" s="380"/>
      <c r="M95" s="381"/>
    </row>
    <row r="96" spans="1:13" ht="16.5" thickBot="1">
      <c r="A96" s="393"/>
      <c r="B96" s="451"/>
      <c r="C96" s="418"/>
      <c r="D96" s="418"/>
      <c r="E96" s="418"/>
      <c r="F96" s="443"/>
      <c r="G96" s="444"/>
      <c r="H96" s="419"/>
      <c r="I96" s="419"/>
      <c r="J96" s="416">
        <v>20</v>
      </c>
      <c r="K96" s="417" t="s">
        <v>588</v>
      </c>
      <c r="L96" s="399"/>
      <c r="M96" s="400"/>
    </row>
    <row r="97" spans="1:13">
      <c r="A97" s="845" t="s">
        <v>589</v>
      </c>
      <c r="B97" s="846"/>
      <c r="C97" s="846"/>
      <c r="D97" s="846"/>
      <c r="E97" s="846"/>
      <c r="F97" s="846"/>
      <c r="G97" s="846"/>
      <c r="H97" s="846"/>
      <c r="I97" s="846"/>
      <c r="J97" s="846"/>
      <c r="K97" s="846"/>
      <c r="L97" s="846"/>
      <c r="M97" s="847"/>
    </row>
    <row r="98" spans="1:13">
      <c r="A98" s="373" t="s">
        <v>542</v>
      </c>
      <c r="B98" s="374">
        <f>SUM(C98:E98)</f>
        <v>35</v>
      </c>
      <c r="C98" s="375"/>
      <c r="D98" s="375"/>
      <c r="E98" s="375">
        <v>35</v>
      </c>
      <c r="F98" s="375"/>
      <c r="G98" s="414"/>
      <c r="H98" s="414"/>
      <c r="I98" s="414"/>
      <c r="J98" s="378"/>
      <c r="K98" s="379"/>
      <c r="L98" s="380"/>
      <c r="M98" s="381"/>
    </row>
    <row r="99" spans="1:13">
      <c r="A99" s="373"/>
      <c r="B99" s="374"/>
      <c r="C99" s="375"/>
      <c r="D99" s="375"/>
      <c r="E99" s="375"/>
      <c r="F99" s="375"/>
      <c r="G99" s="414"/>
      <c r="H99" s="414"/>
      <c r="I99" s="414"/>
      <c r="J99" s="383"/>
      <c r="K99" s="384"/>
      <c r="L99" s="380"/>
      <c r="M99" s="381"/>
    </row>
    <row r="100" spans="1:13" ht="194.25" customHeight="1" thickBot="1">
      <c r="A100" s="393" t="s">
        <v>545</v>
      </c>
      <c r="B100" s="374">
        <f>SUM(C100:F100)</f>
        <v>63</v>
      </c>
      <c r="C100" s="418"/>
      <c r="D100" s="418"/>
      <c r="E100" s="418">
        <v>63</v>
      </c>
      <c r="F100" s="418"/>
      <c r="G100" s="419"/>
      <c r="H100" s="419">
        <f>((100*E100)/E98)-100</f>
        <v>80</v>
      </c>
      <c r="I100" s="419">
        <f>((100*B100)/B98)-100</f>
        <v>80</v>
      </c>
      <c r="J100" s="397"/>
      <c r="K100" s="452" t="s">
        <v>590</v>
      </c>
      <c r="L100" s="399"/>
      <c r="M100" s="400"/>
    </row>
    <row r="101" spans="1:13">
      <c r="A101" s="845" t="s">
        <v>591</v>
      </c>
      <c r="B101" s="846"/>
      <c r="C101" s="846"/>
      <c r="D101" s="846"/>
      <c r="E101" s="846"/>
      <c r="F101" s="846"/>
      <c r="G101" s="846"/>
      <c r="H101" s="846"/>
      <c r="I101" s="846"/>
      <c r="J101" s="846"/>
      <c r="K101" s="846"/>
      <c r="L101" s="846"/>
      <c r="M101" s="847"/>
    </row>
    <row r="102" spans="1:13">
      <c r="A102" s="373" t="s">
        <v>542</v>
      </c>
      <c r="B102" s="374">
        <f>SUM(C102:E102)</f>
        <v>35</v>
      </c>
      <c r="C102" s="375"/>
      <c r="D102" s="375"/>
      <c r="E102" s="375">
        <v>35</v>
      </c>
      <c r="F102" s="376"/>
      <c r="G102" s="382"/>
      <c r="H102" s="377"/>
      <c r="I102" s="377"/>
      <c r="J102" s="378"/>
      <c r="K102" s="379"/>
      <c r="L102" s="380"/>
      <c r="M102" s="381"/>
    </row>
    <row r="103" spans="1:13">
      <c r="A103" s="373"/>
      <c r="B103" s="374"/>
      <c r="C103" s="375"/>
      <c r="D103" s="375"/>
      <c r="E103" s="375"/>
      <c r="F103" s="376"/>
      <c r="G103" s="382"/>
      <c r="H103" s="377"/>
      <c r="I103" s="377"/>
      <c r="J103" s="383"/>
      <c r="K103" s="384"/>
      <c r="L103" s="380"/>
      <c r="M103" s="381"/>
    </row>
    <row r="104" spans="1:13" ht="32.25" thickBot="1">
      <c r="A104" s="393" t="s">
        <v>545</v>
      </c>
      <c r="B104" s="374">
        <f>SUM(C104:F104)</f>
        <v>35</v>
      </c>
      <c r="C104" s="418"/>
      <c r="D104" s="418"/>
      <c r="E104" s="418">
        <v>35</v>
      </c>
      <c r="F104" s="395"/>
      <c r="G104" s="396"/>
      <c r="H104" s="396">
        <f>((100*E104)/E102)-100</f>
        <v>0</v>
      </c>
      <c r="I104" s="396">
        <f>((100*B104)/B102)-100</f>
        <v>0</v>
      </c>
      <c r="J104" s="397"/>
      <c r="K104" s="417"/>
      <c r="L104" s="399"/>
      <c r="M104" s="400"/>
    </row>
    <row r="105" spans="1:13">
      <c r="A105" s="845" t="s">
        <v>592</v>
      </c>
      <c r="B105" s="846"/>
      <c r="C105" s="846"/>
      <c r="D105" s="846"/>
      <c r="E105" s="846"/>
      <c r="F105" s="846"/>
      <c r="G105" s="846"/>
      <c r="H105" s="846"/>
      <c r="I105" s="846"/>
      <c r="J105" s="846"/>
      <c r="K105" s="846"/>
      <c r="L105" s="846"/>
      <c r="M105" s="847"/>
    </row>
    <row r="106" spans="1:13">
      <c r="A106" s="373" t="s">
        <v>542</v>
      </c>
      <c r="B106" s="374">
        <f>SUM(C106:E106)</f>
        <v>95</v>
      </c>
      <c r="C106" s="375"/>
      <c r="D106" s="375"/>
      <c r="E106" s="375">
        <v>95</v>
      </c>
      <c r="F106" s="376"/>
      <c r="G106" s="382"/>
      <c r="H106" s="377"/>
      <c r="I106" s="377"/>
      <c r="J106" s="378"/>
      <c r="K106" s="379"/>
      <c r="L106" s="380"/>
      <c r="M106" s="381"/>
    </row>
    <row r="107" spans="1:13">
      <c r="A107" s="373"/>
      <c r="B107" s="415"/>
      <c r="C107" s="376"/>
      <c r="D107" s="376"/>
      <c r="E107" s="376"/>
      <c r="F107" s="376"/>
      <c r="G107" s="382"/>
      <c r="H107" s="377"/>
      <c r="I107" s="377"/>
      <c r="J107" s="383"/>
      <c r="K107" s="384"/>
      <c r="L107" s="380"/>
      <c r="M107" s="381"/>
    </row>
    <row r="108" spans="1:13" ht="32.25" thickBot="1">
      <c r="A108" s="393" t="s">
        <v>545</v>
      </c>
      <c r="B108" s="415">
        <f>SUM(C108:F108)</f>
        <v>128.30000000000001</v>
      </c>
      <c r="C108" s="395"/>
      <c r="D108" s="395"/>
      <c r="E108" s="395">
        <v>128.30000000000001</v>
      </c>
      <c r="F108" s="395"/>
      <c r="G108" s="453"/>
      <c r="H108" s="419">
        <f>((100*E108)/E106)-100</f>
        <v>35.052631578947398</v>
      </c>
      <c r="I108" s="419">
        <f>((100*B108)/B106)-100</f>
        <v>35.052631578947398</v>
      </c>
      <c r="J108" s="397">
        <v>20.6</v>
      </c>
      <c r="K108" s="690" t="s">
        <v>790</v>
      </c>
      <c r="L108" s="399"/>
      <c r="M108" s="400"/>
    </row>
    <row r="109" spans="1:13">
      <c r="A109" s="845" t="s">
        <v>593</v>
      </c>
      <c r="B109" s="846"/>
      <c r="C109" s="846"/>
      <c r="D109" s="846"/>
      <c r="E109" s="846"/>
      <c r="F109" s="846"/>
      <c r="G109" s="846"/>
      <c r="H109" s="846"/>
      <c r="I109" s="846"/>
      <c r="J109" s="846"/>
      <c r="K109" s="846"/>
      <c r="L109" s="846"/>
      <c r="M109" s="847"/>
    </row>
    <row r="110" spans="1:13">
      <c r="A110" s="373" t="s">
        <v>542</v>
      </c>
      <c r="B110" s="415">
        <f>SUM(C110:E110)</f>
        <v>421.1</v>
      </c>
      <c r="C110" s="376"/>
      <c r="D110" s="376"/>
      <c r="E110" s="376">
        <v>421.1</v>
      </c>
      <c r="F110" s="376"/>
      <c r="G110" s="382"/>
      <c r="H110" s="377"/>
      <c r="I110" s="377"/>
      <c r="J110" s="378"/>
      <c r="K110" s="379"/>
      <c r="L110" s="380"/>
      <c r="M110" s="381"/>
    </row>
    <row r="111" spans="1:13">
      <c r="A111" s="373"/>
      <c r="B111" s="415"/>
      <c r="C111" s="376"/>
      <c r="D111" s="376"/>
      <c r="E111" s="376"/>
      <c r="F111" s="376"/>
      <c r="G111" s="382"/>
      <c r="H111" s="377"/>
      <c r="I111" s="377"/>
      <c r="J111" s="383"/>
      <c r="K111" s="384"/>
      <c r="L111" s="380"/>
      <c r="M111" s="381"/>
    </row>
    <row r="112" spans="1:13" ht="31.5">
      <c r="A112" s="413" t="s">
        <v>545</v>
      </c>
      <c r="B112" s="415">
        <f>SUM(C112:F112)</f>
        <v>502.9</v>
      </c>
      <c r="C112" s="376"/>
      <c r="D112" s="376"/>
      <c r="E112" s="376">
        <f>501+1.9</f>
        <v>502.9</v>
      </c>
      <c r="F112" s="376"/>
      <c r="G112" s="382"/>
      <c r="H112" s="414">
        <f>((100*E112)/E110)-100</f>
        <v>19.425314652101633</v>
      </c>
      <c r="I112" s="414">
        <f>((100*B112)/B110)-100</f>
        <v>19.425314652101633</v>
      </c>
      <c r="J112" s="454">
        <v>1</v>
      </c>
      <c r="K112" s="384" t="s">
        <v>594</v>
      </c>
      <c r="L112" s="380"/>
      <c r="M112" s="381"/>
    </row>
    <row r="113" spans="1:13" ht="16.5" thickBot="1">
      <c r="A113" s="393"/>
      <c r="B113" s="394"/>
      <c r="C113" s="395"/>
      <c r="D113" s="395"/>
      <c r="E113" s="395"/>
      <c r="F113" s="395"/>
      <c r="G113" s="453"/>
      <c r="H113" s="396"/>
      <c r="I113" s="396"/>
      <c r="J113" s="455">
        <v>1.9</v>
      </c>
      <c r="K113" s="417" t="s">
        <v>546</v>
      </c>
      <c r="L113" s="399"/>
      <c r="M113" s="400"/>
    </row>
    <row r="114" spans="1:13">
      <c r="A114" s="820" t="s">
        <v>595</v>
      </c>
      <c r="B114" s="821"/>
      <c r="C114" s="821"/>
      <c r="D114" s="821"/>
      <c r="E114" s="821"/>
      <c r="F114" s="821"/>
      <c r="G114" s="821"/>
      <c r="H114" s="821"/>
      <c r="I114" s="821"/>
      <c r="J114" s="821"/>
      <c r="K114" s="821"/>
      <c r="L114" s="821"/>
      <c r="M114" s="822"/>
    </row>
    <row r="115" spans="1:13">
      <c r="A115" s="373" t="s">
        <v>542</v>
      </c>
      <c r="B115" s="374">
        <f>C115+D115+E115</f>
        <v>50</v>
      </c>
      <c r="C115" s="375"/>
      <c r="D115" s="375"/>
      <c r="E115" s="375">
        <v>50</v>
      </c>
      <c r="F115" s="376"/>
      <c r="G115" s="382"/>
      <c r="H115" s="377"/>
      <c r="I115" s="377"/>
      <c r="J115" s="378"/>
      <c r="K115" s="379"/>
      <c r="L115" s="380"/>
      <c r="M115" s="381"/>
    </row>
    <row r="116" spans="1:13">
      <c r="A116" s="373"/>
      <c r="B116" s="415"/>
      <c r="C116" s="376"/>
      <c r="D116" s="376"/>
      <c r="E116" s="376"/>
      <c r="F116" s="376"/>
      <c r="G116" s="382"/>
      <c r="H116" s="377"/>
      <c r="I116" s="377"/>
      <c r="J116" s="383"/>
      <c r="K116" s="384"/>
      <c r="L116" s="380"/>
      <c r="M116" s="381"/>
    </row>
    <row r="117" spans="1:13" ht="49.5" customHeight="1">
      <c r="A117" s="413" t="s">
        <v>545</v>
      </c>
      <c r="B117" s="415">
        <f>SUM(C117:F117)</f>
        <v>132.5</v>
      </c>
      <c r="C117" s="376"/>
      <c r="D117" s="376"/>
      <c r="E117" s="376">
        <v>132.5</v>
      </c>
      <c r="F117" s="376"/>
      <c r="G117" s="382"/>
      <c r="H117" s="414">
        <f>((100*E117)/E115)-100</f>
        <v>165</v>
      </c>
      <c r="I117" s="414">
        <f>((100*B117)/B115)-100</f>
        <v>165</v>
      </c>
      <c r="J117" s="378">
        <v>76.5</v>
      </c>
      <c r="K117" s="694" t="s">
        <v>795</v>
      </c>
      <c r="L117" s="380"/>
      <c r="M117" s="381"/>
    </row>
    <row r="118" spans="1:13">
      <c r="A118" s="413"/>
      <c r="B118" s="415"/>
      <c r="C118" s="376"/>
      <c r="D118" s="376"/>
      <c r="E118" s="376"/>
      <c r="F118" s="376"/>
      <c r="G118" s="382"/>
      <c r="H118" s="377"/>
      <c r="I118" s="377"/>
      <c r="J118" s="378">
        <v>41</v>
      </c>
      <c r="K118" s="457" t="s">
        <v>596</v>
      </c>
      <c r="L118" s="380"/>
      <c r="M118" s="381"/>
    </row>
    <row r="119" spans="1:13" ht="16.5" thickBot="1">
      <c r="A119" s="413"/>
      <c r="B119" s="415"/>
      <c r="C119" s="376"/>
      <c r="D119" s="376"/>
      <c r="E119" s="376"/>
      <c r="F119" s="376"/>
      <c r="G119" s="382"/>
      <c r="H119" s="377"/>
      <c r="I119" s="377"/>
      <c r="J119" s="378">
        <v>15</v>
      </c>
      <c r="K119" s="694" t="s">
        <v>796</v>
      </c>
      <c r="L119" s="380"/>
      <c r="M119" s="381"/>
    </row>
    <row r="120" spans="1:13" ht="15.75" customHeight="1">
      <c r="A120" s="855" t="s">
        <v>597</v>
      </c>
      <c r="B120" s="856"/>
      <c r="C120" s="856"/>
      <c r="D120" s="856"/>
      <c r="E120" s="856"/>
      <c r="F120" s="856"/>
      <c r="G120" s="856"/>
      <c r="H120" s="856"/>
      <c r="I120" s="856"/>
      <c r="J120" s="856"/>
      <c r="K120" s="856"/>
      <c r="L120" s="856"/>
      <c r="M120" s="857"/>
    </row>
    <row r="121" spans="1:13">
      <c r="A121" s="373" t="s">
        <v>542</v>
      </c>
      <c r="B121" s="415"/>
      <c r="C121" s="376"/>
      <c r="D121" s="376"/>
      <c r="E121" s="376">
        <v>0</v>
      </c>
      <c r="F121" s="376"/>
      <c r="G121" s="382"/>
      <c r="H121" s="377"/>
      <c r="I121" s="377"/>
      <c r="J121" s="383"/>
      <c r="K121" s="457"/>
      <c r="L121" s="380"/>
      <c r="M121" s="381"/>
    </row>
    <row r="122" spans="1:13">
      <c r="A122" s="373"/>
      <c r="B122" s="415"/>
      <c r="C122" s="376"/>
      <c r="D122" s="376"/>
      <c r="E122" s="376"/>
      <c r="F122" s="376"/>
      <c r="G122" s="382"/>
      <c r="H122" s="377"/>
      <c r="I122" s="377"/>
      <c r="J122" s="383"/>
      <c r="K122" s="457"/>
      <c r="L122" s="380"/>
      <c r="M122" s="381"/>
    </row>
    <row r="123" spans="1:13" ht="32.25" thickBot="1">
      <c r="A123" s="393" t="s">
        <v>545</v>
      </c>
      <c r="B123" s="374">
        <f>SUM(C123:F123)</f>
        <v>17</v>
      </c>
      <c r="C123" s="418"/>
      <c r="D123" s="418"/>
      <c r="E123" s="418">
        <v>17</v>
      </c>
      <c r="F123" s="410"/>
      <c r="G123" s="459"/>
      <c r="H123" s="377"/>
      <c r="I123" s="377"/>
      <c r="J123" s="397"/>
      <c r="K123" s="398"/>
      <c r="L123" s="399"/>
      <c r="M123" s="400"/>
    </row>
    <row r="124" spans="1:13" ht="15.75" customHeight="1">
      <c r="A124" s="855" t="s">
        <v>598</v>
      </c>
      <c r="B124" s="856"/>
      <c r="C124" s="856"/>
      <c r="D124" s="856"/>
      <c r="E124" s="856"/>
      <c r="F124" s="856"/>
      <c r="G124" s="856"/>
      <c r="H124" s="856"/>
      <c r="I124" s="856"/>
      <c r="J124" s="856"/>
      <c r="K124" s="856"/>
      <c r="L124" s="856"/>
      <c r="M124" s="857"/>
    </row>
    <row r="125" spans="1:13">
      <c r="A125" s="373" t="s">
        <v>542</v>
      </c>
      <c r="B125" s="415"/>
      <c r="C125" s="376"/>
      <c r="D125" s="376"/>
      <c r="E125" s="376">
        <v>0</v>
      </c>
      <c r="F125" s="376"/>
      <c r="G125" s="382"/>
      <c r="H125" s="377"/>
      <c r="I125" s="377"/>
      <c r="J125" s="383"/>
      <c r="K125" s="457"/>
      <c r="L125" s="380"/>
      <c r="M125" s="381"/>
    </row>
    <row r="126" spans="1:13">
      <c r="A126" s="373"/>
      <c r="B126" s="415"/>
      <c r="C126" s="376"/>
      <c r="D126" s="376"/>
      <c r="E126" s="376"/>
      <c r="F126" s="376"/>
      <c r="G126" s="382"/>
      <c r="H126" s="377"/>
      <c r="I126" s="377"/>
      <c r="J126" s="383"/>
      <c r="K126" s="457"/>
      <c r="L126" s="380"/>
      <c r="M126" s="381"/>
    </row>
    <row r="127" spans="1:13" ht="32.25" thickBot="1">
      <c r="A127" s="393" t="s">
        <v>545</v>
      </c>
      <c r="B127" s="374">
        <f>SUM(C127:F127)</f>
        <v>25</v>
      </c>
      <c r="C127" s="418"/>
      <c r="D127" s="418"/>
      <c r="E127" s="418">
        <v>25</v>
      </c>
      <c r="F127" s="395"/>
      <c r="G127" s="453"/>
      <c r="H127" s="396"/>
      <c r="I127" s="396"/>
      <c r="J127" s="397"/>
      <c r="K127" s="398"/>
      <c r="L127" s="399"/>
      <c r="M127" s="400"/>
    </row>
    <row r="128" spans="1:13">
      <c r="A128" s="845" t="s">
        <v>599</v>
      </c>
      <c r="B128" s="846"/>
      <c r="C128" s="846"/>
      <c r="D128" s="846"/>
      <c r="E128" s="846"/>
      <c r="F128" s="846"/>
      <c r="G128" s="846"/>
      <c r="H128" s="846"/>
      <c r="I128" s="846"/>
      <c r="J128" s="846"/>
      <c r="K128" s="846"/>
      <c r="L128" s="846"/>
      <c r="M128" s="847"/>
    </row>
    <row r="129" spans="1:13">
      <c r="A129" s="373" t="s">
        <v>542</v>
      </c>
      <c r="B129" s="374">
        <f>C129+D129+E129</f>
        <v>100</v>
      </c>
      <c r="C129" s="375"/>
      <c r="D129" s="375"/>
      <c r="E129" s="375">
        <v>100</v>
      </c>
      <c r="F129" s="376"/>
      <c r="G129" s="382"/>
      <c r="H129" s="377"/>
      <c r="I129" s="377"/>
      <c r="J129" s="378"/>
      <c r="K129" s="379"/>
      <c r="L129" s="380"/>
      <c r="M129" s="381"/>
    </row>
    <row r="130" spans="1:13">
      <c r="A130" s="373"/>
      <c r="B130" s="374"/>
      <c r="C130" s="375"/>
      <c r="D130" s="375"/>
      <c r="E130" s="375"/>
      <c r="F130" s="376"/>
      <c r="G130" s="382"/>
      <c r="H130" s="377"/>
      <c r="I130" s="377"/>
      <c r="J130" s="383"/>
      <c r="K130" s="384"/>
      <c r="L130" s="380"/>
      <c r="M130" s="381"/>
    </row>
    <row r="131" spans="1:13" ht="32.25" thickBot="1">
      <c r="A131" s="393" t="s">
        <v>545</v>
      </c>
      <c r="B131" s="374">
        <f>SUM(C131:F131)</f>
        <v>105</v>
      </c>
      <c r="C131" s="418"/>
      <c r="D131" s="418"/>
      <c r="E131" s="418">
        <v>105</v>
      </c>
      <c r="F131" s="395"/>
      <c r="G131" s="453"/>
      <c r="H131" s="419">
        <f>((100*E131)/E129)-100</f>
        <v>5</v>
      </c>
      <c r="I131" s="419">
        <f>((100*B131)/B129)-100</f>
        <v>5</v>
      </c>
      <c r="J131" s="397"/>
      <c r="K131" s="417"/>
      <c r="L131" s="399"/>
      <c r="M131" s="400"/>
    </row>
    <row r="132" spans="1:13">
      <c r="A132" s="845" t="s">
        <v>600</v>
      </c>
      <c r="B132" s="846"/>
      <c r="C132" s="846"/>
      <c r="D132" s="846"/>
      <c r="E132" s="846"/>
      <c r="F132" s="846"/>
      <c r="G132" s="846"/>
      <c r="H132" s="846"/>
      <c r="I132" s="846"/>
      <c r="J132" s="846"/>
      <c r="K132" s="846"/>
      <c r="L132" s="846"/>
      <c r="M132" s="847"/>
    </row>
    <row r="133" spans="1:13">
      <c r="A133" s="373" t="s">
        <v>542</v>
      </c>
      <c r="B133" s="374">
        <f>C133+D133+E133</f>
        <v>100</v>
      </c>
      <c r="C133" s="375"/>
      <c r="D133" s="375"/>
      <c r="E133" s="375">
        <v>100</v>
      </c>
      <c r="F133" s="376"/>
      <c r="G133" s="382"/>
      <c r="H133" s="377"/>
      <c r="I133" s="377"/>
      <c r="J133" s="378"/>
      <c r="K133" s="379"/>
      <c r="L133" s="380"/>
      <c r="M133" s="381"/>
    </row>
    <row r="134" spans="1:13">
      <c r="A134" s="373"/>
      <c r="B134" s="374"/>
      <c r="C134" s="375"/>
      <c r="D134" s="375"/>
      <c r="E134" s="375"/>
      <c r="F134" s="376"/>
      <c r="G134" s="382"/>
      <c r="H134" s="377"/>
      <c r="I134" s="377"/>
      <c r="J134" s="383"/>
      <c r="K134" s="384"/>
      <c r="L134" s="380"/>
      <c r="M134" s="381"/>
    </row>
    <row r="135" spans="1:13" ht="32.25" thickBot="1">
      <c r="A135" s="393" t="s">
        <v>545</v>
      </c>
      <c r="B135" s="374">
        <f>SUM(C135:F135)</f>
        <v>110</v>
      </c>
      <c r="C135" s="418"/>
      <c r="D135" s="418"/>
      <c r="E135" s="418">
        <v>110</v>
      </c>
      <c r="F135" s="395"/>
      <c r="G135" s="453"/>
      <c r="H135" s="419">
        <f>((100*E135)/E133)-100</f>
        <v>10</v>
      </c>
      <c r="I135" s="419">
        <f>((100*B135)/B133)-100</f>
        <v>10</v>
      </c>
      <c r="J135" s="397"/>
      <c r="K135" s="417"/>
      <c r="L135" s="399"/>
      <c r="M135" s="400"/>
    </row>
    <row r="136" spans="1:13">
      <c r="A136" s="845" t="s">
        <v>601</v>
      </c>
      <c r="B136" s="846"/>
      <c r="C136" s="846"/>
      <c r="D136" s="846"/>
      <c r="E136" s="846"/>
      <c r="F136" s="846"/>
      <c r="G136" s="846"/>
      <c r="H136" s="846"/>
      <c r="I136" s="846"/>
      <c r="J136" s="846"/>
      <c r="K136" s="846"/>
      <c r="L136" s="846"/>
      <c r="M136" s="847"/>
    </row>
    <row r="137" spans="1:13">
      <c r="A137" s="373" t="s">
        <v>542</v>
      </c>
      <c r="B137" s="374">
        <f>C137+D137+E137</f>
        <v>100</v>
      </c>
      <c r="C137" s="375"/>
      <c r="D137" s="375"/>
      <c r="E137" s="375">
        <v>100</v>
      </c>
      <c r="F137" s="376"/>
      <c r="G137" s="382"/>
      <c r="H137" s="377"/>
      <c r="I137" s="377"/>
      <c r="J137" s="378"/>
      <c r="K137" s="379"/>
      <c r="L137" s="380"/>
      <c r="M137" s="381"/>
    </row>
    <row r="138" spans="1:13">
      <c r="A138" s="373"/>
      <c r="B138" s="374"/>
      <c r="C138" s="375"/>
      <c r="D138" s="375"/>
      <c r="E138" s="375"/>
      <c r="F138" s="376"/>
      <c r="G138" s="382"/>
      <c r="H138" s="377"/>
      <c r="I138" s="377"/>
      <c r="J138" s="383"/>
      <c r="K138" s="384"/>
      <c r="L138" s="380"/>
      <c r="M138" s="381"/>
    </row>
    <row r="139" spans="1:13" ht="32.25" thickBot="1">
      <c r="A139" s="393" t="s">
        <v>545</v>
      </c>
      <c r="B139" s="374">
        <f>SUM(C139:F139)</f>
        <v>125</v>
      </c>
      <c r="C139" s="418"/>
      <c r="D139" s="418"/>
      <c r="E139" s="418">
        <v>125</v>
      </c>
      <c r="F139" s="395"/>
      <c r="G139" s="453"/>
      <c r="H139" s="419">
        <f>((100*E139)/E137)-100</f>
        <v>25</v>
      </c>
      <c r="I139" s="419">
        <f>((100*B139)/B137)-100</f>
        <v>25</v>
      </c>
      <c r="J139" s="397"/>
      <c r="K139" s="417"/>
      <c r="L139" s="399"/>
      <c r="M139" s="400"/>
    </row>
    <row r="140" spans="1:13">
      <c r="A140" s="845" t="s">
        <v>602</v>
      </c>
      <c r="B140" s="846"/>
      <c r="C140" s="846"/>
      <c r="D140" s="846"/>
      <c r="E140" s="846"/>
      <c r="F140" s="846"/>
      <c r="G140" s="846"/>
      <c r="H140" s="846"/>
      <c r="I140" s="846"/>
      <c r="J140" s="846"/>
      <c r="K140" s="846"/>
      <c r="L140" s="846"/>
      <c r="M140" s="847"/>
    </row>
    <row r="141" spans="1:13">
      <c r="A141" s="373" t="s">
        <v>542</v>
      </c>
      <c r="B141" s="374">
        <f>C141+D141+E141</f>
        <v>15</v>
      </c>
      <c r="C141" s="375"/>
      <c r="D141" s="375"/>
      <c r="E141" s="375">
        <v>15</v>
      </c>
      <c r="F141" s="376"/>
      <c r="G141" s="382"/>
      <c r="H141" s="377"/>
      <c r="I141" s="377"/>
      <c r="J141" s="378"/>
      <c r="K141" s="379"/>
      <c r="L141" s="380"/>
      <c r="M141" s="381"/>
    </row>
    <row r="142" spans="1:13">
      <c r="A142" s="373"/>
      <c r="B142" s="374"/>
      <c r="C142" s="375"/>
      <c r="D142" s="375"/>
      <c r="E142" s="375"/>
      <c r="F142" s="376"/>
      <c r="G142" s="382"/>
      <c r="H142" s="377"/>
      <c r="I142" s="377"/>
      <c r="J142" s="383"/>
      <c r="K142" s="384"/>
      <c r="L142" s="380"/>
      <c r="M142" s="381"/>
    </row>
    <row r="143" spans="1:13" ht="32.25" thickBot="1">
      <c r="A143" s="442" t="s">
        <v>545</v>
      </c>
      <c r="B143" s="374">
        <f>SUM(C143:F143)</f>
        <v>18</v>
      </c>
      <c r="C143" s="443"/>
      <c r="D143" s="443"/>
      <c r="E143" s="443">
        <v>18</v>
      </c>
      <c r="F143" s="460"/>
      <c r="G143" s="453"/>
      <c r="H143" s="444">
        <f>((100*E143)/E141)-100</f>
        <v>20</v>
      </c>
      <c r="I143" s="444">
        <f>((100*B143)/B141)-100</f>
        <v>20</v>
      </c>
      <c r="J143" s="458"/>
      <c r="K143" s="461"/>
      <c r="L143" s="462"/>
      <c r="M143" s="447"/>
    </row>
    <row r="144" spans="1:13" ht="24" customHeight="1" thickBot="1">
      <c r="A144" s="848" t="s">
        <v>603</v>
      </c>
      <c r="B144" s="841"/>
      <c r="C144" s="841"/>
      <c r="D144" s="841"/>
      <c r="E144" s="841"/>
      <c r="F144" s="841"/>
      <c r="G144" s="841"/>
      <c r="H144" s="841"/>
      <c r="I144" s="841"/>
      <c r="J144" s="841"/>
      <c r="K144" s="841"/>
      <c r="L144" s="841"/>
      <c r="M144" s="842"/>
    </row>
    <row r="145" spans="1:13" ht="16.5" thickBot="1">
      <c r="A145" s="661" t="s">
        <v>542</v>
      </c>
      <c r="B145" s="662">
        <f>B141+B137+B133+B129+B115+B110+B106+B102+B98+B93+B84+B78+B73+B69+B64+B60+B56+B52+B48+B44+B39+B35+B31+B27+B21+B15+B10+B8+B125+B88</f>
        <v>12898.91</v>
      </c>
      <c r="C145" s="663">
        <f>C141+C137+C133+C129+C115+C110+C106+C102+C98+C93+C84+C78+C73+C69+C64+C60+C56+C52+C48+C44+C39+C35+C31+C27+C21+C15+C10+C8+C125+C88</f>
        <v>9964.4</v>
      </c>
      <c r="D145" s="663">
        <f>D141+D137+D133+D129+D115+D110+D106+D102+D98+D93+D84+D78+D73+D69+D64+D60+D56+D52+D48+D44+D39+D35+D31+D27+D21+D15+D10+D8+D125+D88</f>
        <v>144.71</v>
      </c>
      <c r="E145" s="663">
        <f>E141+E137+E133+E129+E115+E110+E106+E102+E98+E93+E84+E78+E73+E69+E64+E60+E56+E52+E48+E44+E39+E35+E31+E27+E21+E15+E10+E8+E125+E88</f>
        <v>2789.7999999999997</v>
      </c>
      <c r="F145" s="664"/>
      <c r="G145" s="664"/>
      <c r="H145" s="665"/>
      <c r="I145" s="665"/>
      <c r="J145" s="666"/>
      <c r="K145" s="666"/>
      <c r="L145" s="666"/>
      <c r="M145" s="667"/>
    </row>
    <row r="146" spans="1:13" ht="33" customHeight="1" thickBot="1">
      <c r="A146" s="668" t="s">
        <v>545</v>
      </c>
      <c r="B146" s="669">
        <f>C146+D146+E146+F146</f>
        <v>14435.699999999999</v>
      </c>
      <c r="C146" s="670">
        <f>C143+C139+C135+C131+C127+C117+C112+C108+C104+C100+C95+C90+C86+C81+C75+C71+C66+C62+C58+C50+C46+C42+C37+C29+C33+C23+C17+C12+C123+C54</f>
        <v>10838.8</v>
      </c>
      <c r="D146" s="670">
        <f>D143+D139+D135+D131+D127+D117+D112+D108+D104+D100+D95+D90+D86+D81+D75+D71+D66+D62+D58+D50+D46+D42+D37+D29+D33+D23+D17+D12+D123+D54</f>
        <v>157.39999999999998</v>
      </c>
      <c r="E146" s="670">
        <f>E143+E139+E135+E131+E127+E117+E112+E108+E104+E100+E95+E90+E86+E81+E75+E71+E66+E62+E58+E50+E46+E42+E37+E29+E33+E23+E17+E12+E123+E54</f>
        <v>3346.4</v>
      </c>
      <c r="F146" s="670">
        <f>F143+F139+F135+F131+F127+F117+F112+F108+F104+F100+F95+F90+F86+F81+F75+F71+F66+F62+F58+F50+F46+F42+F37+F29+F33+F23+F17+F12+F123+F54</f>
        <v>93.09999999999998</v>
      </c>
      <c r="G146" s="670">
        <f>C146/C145*100-100</f>
        <v>8.7752398538797962</v>
      </c>
      <c r="H146" s="670">
        <f>((100*E146)/E145)-100</f>
        <v>19.951250985733751</v>
      </c>
      <c r="I146" s="670">
        <f>((100*B146)/B145)-100</f>
        <v>11.914107471096401</v>
      </c>
      <c r="J146" s="671"/>
      <c r="K146" s="671"/>
      <c r="L146" s="671"/>
      <c r="M146" s="672"/>
    </row>
    <row r="147" spans="1:13" ht="23.25" customHeight="1">
      <c r="A147" s="849" t="s">
        <v>604</v>
      </c>
      <c r="B147" s="850"/>
      <c r="C147" s="850"/>
      <c r="D147" s="850"/>
      <c r="E147" s="850"/>
      <c r="F147" s="850"/>
      <c r="G147" s="850"/>
      <c r="H147" s="850"/>
      <c r="I147" s="850"/>
      <c r="J147" s="850"/>
      <c r="K147" s="850"/>
      <c r="L147" s="850"/>
      <c r="M147" s="851"/>
    </row>
    <row r="148" spans="1:13" s="468" customFormat="1" ht="12.75" customHeight="1">
      <c r="A148" s="817"/>
      <c r="B148" s="818"/>
      <c r="C148" s="818"/>
      <c r="D148" s="818"/>
      <c r="E148" s="818"/>
      <c r="F148" s="818"/>
      <c r="G148" s="818"/>
      <c r="H148" s="818"/>
      <c r="I148" s="818"/>
      <c r="J148" s="818"/>
      <c r="K148" s="818"/>
      <c r="L148" s="818"/>
      <c r="M148" s="819"/>
    </row>
    <row r="149" spans="1:13" s="456" customFormat="1" ht="16.5" customHeight="1">
      <c r="A149" s="852" t="s">
        <v>605</v>
      </c>
      <c r="B149" s="853"/>
      <c r="C149" s="853"/>
      <c r="D149" s="853"/>
      <c r="E149" s="853"/>
      <c r="F149" s="853"/>
      <c r="G149" s="853"/>
      <c r="H149" s="853"/>
      <c r="I149" s="853"/>
      <c r="J149" s="853"/>
      <c r="K149" s="853"/>
      <c r="L149" s="853"/>
      <c r="M149" s="854"/>
    </row>
    <row r="150" spans="1:13">
      <c r="A150" s="373" t="s">
        <v>542</v>
      </c>
      <c r="B150" s="374">
        <f>C150+D150+E150</f>
        <v>60</v>
      </c>
      <c r="C150" s="375"/>
      <c r="D150" s="375"/>
      <c r="E150" s="375">
        <v>60</v>
      </c>
      <c r="F150" s="376"/>
      <c r="G150" s="382"/>
      <c r="H150" s="377"/>
      <c r="I150" s="377"/>
      <c r="J150" s="378"/>
      <c r="K150" s="379"/>
      <c r="L150" s="380"/>
      <c r="M150" s="381"/>
    </row>
    <row r="151" spans="1:13">
      <c r="A151" s="373"/>
      <c r="B151" s="415"/>
      <c r="C151" s="376"/>
      <c r="D151" s="376"/>
      <c r="E151" s="376"/>
      <c r="F151" s="376"/>
      <c r="G151" s="382"/>
      <c r="H151" s="377"/>
      <c r="I151" s="377"/>
      <c r="J151" s="383"/>
      <c r="K151" s="384"/>
      <c r="L151" s="380"/>
      <c r="M151" s="381"/>
    </row>
    <row r="152" spans="1:13" ht="32.25" thickBot="1">
      <c r="A152" s="393" t="s">
        <v>545</v>
      </c>
      <c r="B152" s="394">
        <f>C152+D152+E152+F152</f>
        <v>41.2</v>
      </c>
      <c r="C152" s="395"/>
      <c r="D152" s="395"/>
      <c r="E152" s="395">
        <v>41.2</v>
      </c>
      <c r="F152" s="395"/>
      <c r="G152" s="453"/>
      <c r="H152" s="419">
        <f>((100*E152)/E150)-100</f>
        <v>-31.333333333333329</v>
      </c>
      <c r="I152" s="419">
        <f>((100*B152)/B150)-100</f>
        <v>-31.333333333333329</v>
      </c>
      <c r="J152" s="397"/>
      <c r="K152" s="417"/>
      <c r="L152" s="399"/>
      <c r="M152" s="400"/>
    </row>
    <row r="153" spans="1:13">
      <c r="A153" s="820" t="s">
        <v>606</v>
      </c>
      <c r="B153" s="821"/>
      <c r="C153" s="821"/>
      <c r="D153" s="821"/>
      <c r="E153" s="821"/>
      <c r="F153" s="821"/>
      <c r="G153" s="821"/>
      <c r="H153" s="821"/>
      <c r="I153" s="821"/>
      <c r="J153" s="821"/>
      <c r="K153" s="821"/>
      <c r="L153" s="821"/>
      <c r="M153" s="822"/>
    </row>
    <row r="154" spans="1:13">
      <c r="A154" s="373" t="s">
        <v>542</v>
      </c>
      <c r="B154" s="374">
        <f>C154+D154+E154</f>
        <v>20</v>
      </c>
      <c r="C154" s="375"/>
      <c r="D154" s="375"/>
      <c r="E154" s="375">
        <v>20</v>
      </c>
      <c r="F154" s="376"/>
      <c r="G154" s="382"/>
      <c r="H154" s="377"/>
      <c r="I154" s="377"/>
      <c r="J154" s="378"/>
      <c r="K154" s="469"/>
      <c r="L154" s="380"/>
      <c r="M154" s="381"/>
    </row>
    <row r="155" spans="1:13">
      <c r="A155" s="373"/>
      <c r="B155" s="415"/>
      <c r="C155" s="376"/>
      <c r="D155" s="376"/>
      <c r="E155" s="376"/>
      <c r="F155" s="376"/>
      <c r="G155" s="382"/>
      <c r="H155" s="377"/>
      <c r="I155" s="377"/>
      <c r="J155" s="383"/>
      <c r="K155" s="384"/>
      <c r="L155" s="380"/>
      <c r="M155" s="381"/>
    </row>
    <row r="156" spans="1:13" ht="32.25" thickBot="1">
      <c r="A156" s="393" t="s">
        <v>545</v>
      </c>
      <c r="B156" s="394">
        <f>C156+D156+E156+F156</f>
        <v>22.2</v>
      </c>
      <c r="C156" s="395"/>
      <c r="D156" s="395"/>
      <c r="E156" s="395">
        <v>22.2</v>
      </c>
      <c r="F156" s="395"/>
      <c r="G156" s="453"/>
      <c r="H156" s="419">
        <f>((100*E156)/E154)-100</f>
        <v>11</v>
      </c>
      <c r="I156" s="419">
        <f>((100*B156)/B154)-100</f>
        <v>11</v>
      </c>
      <c r="J156" s="397"/>
      <c r="K156" s="417"/>
      <c r="L156" s="399"/>
      <c r="M156" s="400"/>
    </row>
    <row r="157" spans="1:13">
      <c r="A157" s="820" t="s">
        <v>607</v>
      </c>
      <c r="B157" s="821"/>
      <c r="C157" s="821"/>
      <c r="D157" s="821"/>
      <c r="E157" s="821"/>
      <c r="F157" s="821"/>
      <c r="G157" s="821"/>
      <c r="H157" s="821"/>
      <c r="I157" s="821"/>
      <c r="J157" s="821"/>
      <c r="K157" s="821"/>
      <c r="L157" s="821"/>
      <c r="M157" s="822"/>
    </row>
    <row r="158" spans="1:13">
      <c r="A158" s="373" t="s">
        <v>542</v>
      </c>
      <c r="B158" s="415">
        <f>C158+D158+E158</f>
        <v>0</v>
      </c>
      <c r="C158" s="376"/>
      <c r="D158" s="376"/>
      <c r="E158" s="376">
        <v>0</v>
      </c>
      <c r="F158" s="376"/>
      <c r="G158" s="382"/>
      <c r="H158" s="377"/>
      <c r="I158" s="377"/>
      <c r="J158" s="378"/>
      <c r="K158" s="379"/>
      <c r="L158" s="380"/>
      <c r="M158" s="381"/>
    </row>
    <row r="159" spans="1:13">
      <c r="A159" s="373"/>
      <c r="B159" s="415"/>
      <c r="C159" s="376"/>
      <c r="D159" s="376"/>
      <c r="E159" s="376"/>
      <c r="F159" s="376"/>
      <c r="G159" s="382"/>
      <c r="H159" s="377"/>
      <c r="I159" s="377"/>
      <c r="J159" s="383"/>
      <c r="K159" s="384"/>
      <c r="L159" s="380"/>
      <c r="M159" s="381"/>
    </row>
    <row r="160" spans="1:13" ht="32.25" thickBot="1">
      <c r="A160" s="393" t="s">
        <v>545</v>
      </c>
      <c r="B160" s="451">
        <f>C160+D160+E160+F160</f>
        <v>2</v>
      </c>
      <c r="C160" s="418"/>
      <c r="D160" s="418"/>
      <c r="E160" s="418">
        <v>2</v>
      </c>
      <c r="F160" s="395"/>
      <c r="G160" s="453"/>
      <c r="H160" s="396"/>
      <c r="I160" s="396"/>
      <c r="J160" s="397"/>
      <c r="K160" s="417"/>
      <c r="L160" s="399"/>
      <c r="M160" s="400"/>
    </row>
    <row r="161" spans="1:13">
      <c r="A161" s="820" t="s">
        <v>608</v>
      </c>
      <c r="B161" s="821"/>
      <c r="C161" s="821"/>
      <c r="D161" s="821"/>
      <c r="E161" s="821"/>
      <c r="F161" s="821"/>
      <c r="G161" s="821"/>
      <c r="H161" s="821"/>
      <c r="I161" s="821"/>
      <c r="J161" s="821"/>
      <c r="K161" s="821"/>
      <c r="L161" s="821"/>
      <c r="M161" s="822"/>
    </row>
    <row r="162" spans="1:13">
      <c r="A162" s="373" t="s">
        <v>542</v>
      </c>
      <c r="B162" s="374">
        <f>C162+D162+E162</f>
        <v>35</v>
      </c>
      <c r="C162" s="375"/>
      <c r="D162" s="375"/>
      <c r="E162" s="375">
        <v>35</v>
      </c>
      <c r="F162" s="376"/>
      <c r="G162" s="382"/>
      <c r="H162" s="377"/>
      <c r="I162" s="377"/>
      <c r="J162" s="378"/>
      <c r="K162" s="379"/>
      <c r="L162" s="380"/>
      <c r="M162" s="381"/>
    </row>
    <row r="163" spans="1:13">
      <c r="A163" s="373"/>
      <c r="B163" s="374"/>
      <c r="C163" s="375"/>
      <c r="D163" s="375"/>
      <c r="E163" s="375"/>
      <c r="F163" s="376"/>
      <c r="G163" s="382"/>
      <c r="H163" s="377"/>
      <c r="I163" s="377"/>
      <c r="J163" s="383"/>
      <c r="K163" s="384"/>
      <c r="L163" s="380"/>
      <c r="M163" s="381"/>
    </row>
    <row r="164" spans="1:13" ht="32.25" thickBot="1">
      <c r="A164" s="393" t="s">
        <v>545</v>
      </c>
      <c r="B164" s="451">
        <f>C164+D164+E164+F164</f>
        <v>35</v>
      </c>
      <c r="C164" s="418"/>
      <c r="D164" s="418"/>
      <c r="E164" s="418">
        <v>35</v>
      </c>
      <c r="F164" s="395"/>
      <c r="G164" s="453"/>
      <c r="H164" s="396">
        <f>((100*E164)/E162)-100</f>
        <v>0</v>
      </c>
      <c r="I164" s="396">
        <f>((100*B164)/B162)-100</f>
        <v>0</v>
      </c>
      <c r="J164" s="397"/>
      <c r="K164" s="417"/>
      <c r="L164" s="399"/>
      <c r="M164" s="400"/>
    </row>
    <row r="165" spans="1:13">
      <c r="A165" s="820" t="s">
        <v>609</v>
      </c>
      <c r="B165" s="821"/>
      <c r="C165" s="821"/>
      <c r="D165" s="821"/>
      <c r="E165" s="821"/>
      <c r="F165" s="821"/>
      <c r="G165" s="821"/>
      <c r="H165" s="821"/>
      <c r="I165" s="821"/>
      <c r="J165" s="821"/>
      <c r="K165" s="821"/>
      <c r="L165" s="821"/>
      <c r="M165" s="822"/>
    </row>
    <row r="166" spans="1:13">
      <c r="A166" s="373" t="s">
        <v>542</v>
      </c>
      <c r="B166" s="415">
        <f>C166+D166+E166</f>
        <v>46.5</v>
      </c>
      <c r="C166" s="376"/>
      <c r="D166" s="376"/>
      <c r="E166" s="376">
        <v>46.5</v>
      </c>
      <c r="F166" s="376"/>
      <c r="G166" s="382"/>
      <c r="H166" s="377"/>
      <c r="I166" s="377"/>
      <c r="J166" s="378"/>
      <c r="K166" s="379"/>
      <c r="L166" s="380"/>
      <c r="M166" s="381"/>
    </row>
    <row r="167" spans="1:13">
      <c r="A167" s="373"/>
      <c r="B167" s="415"/>
      <c r="C167" s="376"/>
      <c r="D167" s="376"/>
      <c r="E167" s="376"/>
      <c r="F167" s="376"/>
      <c r="G167" s="382"/>
      <c r="H167" s="377"/>
      <c r="I167" s="377"/>
      <c r="J167" s="383"/>
      <c r="K167" s="384"/>
      <c r="L167" s="380"/>
      <c r="M167" s="381"/>
    </row>
    <row r="168" spans="1:13" ht="32.25" thickBot="1">
      <c r="A168" s="393" t="s">
        <v>545</v>
      </c>
      <c r="B168" s="394">
        <f>C168+D168+E168+F168</f>
        <v>45</v>
      </c>
      <c r="C168" s="395"/>
      <c r="D168" s="395"/>
      <c r="E168" s="395">
        <v>45</v>
      </c>
      <c r="F168" s="395"/>
      <c r="G168" s="453"/>
      <c r="H168" s="419">
        <f>((100*E168)/E166)-100</f>
        <v>-3.2258064516128968</v>
      </c>
      <c r="I168" s="419">
        <f>((100*B168)/B166)-100</f>
        <v>-3.2258064516128968</v>
      </c>
      <c r="J168" s="397"/>
      <c r="K168" s="417"/>
      <c r="L168" s="399"/>
      <c r="M168" s="400"/>
    </row>
    <row r="169" spans="1:13">
      <c r="A169" s="820" t="s">
        <v>610</v>
      </c>
      <c r="B169" s="821"/>
      <c r="C169" s="821"/>
      <c r="D169" s="821"/>
      <c r="E169" s="821"/>
      <c r="F169" s="821"/>
      <c r="G169" s="821"/>
      <c r="H169" s="821"/>
      <c r="I169" s="821"/>
      <c r="J169" s="821"/>
      <c r="K169" s="821"/>
      <c r="L169" s="821"/>
      <c r="M169" s="822"/>
    </row>
    <row r="170" spans="1:13">
      <c r="A170" s="373" t="s">
        <v>542</v>
      </c>
      <c r="B170" s="415">
        <f>C170+D170+E170</f>
        <v>72.7</v>
      </c>
      <c r="C170" s="376"/>
      <c r="D170" s="376"/>
      <c r="E170" s="376">
        <v>72.7</v>
      </c>
      <c r="F170" s="376"/>
      <c r="G170" s="382"/>
      <c r="H170" s="377"/>
      <c r="I170" s="377"/>
      <c r="J170" s="378"/>
      <c r="K170" s="379"/>
      <c r="L170" s="380"/>
      <c r="M170" s="381"/>
    </row>
    <row r="171" spans="1:13">
      <c r="A171" s="373"/>
      <c r="B171" s="415"/>
      <c r="C171" s="376"/>
      <c r="D171" s="376"/>
      <c r="E171" s="376"/>
      <c r="F171" s="376"/>
      <c r="G171" s="382"/>
      <c r="H171" s="377"/>
      <c r="I171" s="377"/>
      <c r="J171" s="383"/>
      <c r="K171" s="384"/>
      <c r="L171" s="380"/>
      <c r="M171" s="381"/>
    </row>
    <row r="172" spans="1:13" ht="32.25" thickBot="1">
      <c r="A172" s="393" t="s">
        <v>545</v>
      </c>
      <c r="B172" s="394">
        <f>C172+D172+E172+F172</f>
        <v>60.8</v>
      </c>
      <c r="C172" s="395"/>
      <c r="D172" s="395"/>
      <c r="E172" s="395">
        <v>60.8</v>
      </c>
      <c r="F172" s="395"/>
      <c r="G172" s="453"/>
      <c r="H172" s="419">
        <f>((100*E172)/E170)-100</f>
        <v>-16.368638239339759</v>
      </c>
      <c r="I172" s="419">
        <f>((100*B172)/B170)-100</f>
        <v>-16.368638239339759</v>
      </c>
      <c r="J172" s="397"/>
      <c r="K172" s="417"/>
      <c r="L172" s="399"/>
      <c r="M172" s="400"/>
    </row>
    <row r="173" spans="1:13">
      <c r="A173" s="820" t="s">
        <v>611</v>
      </c>
      <c r="B173" s="821"/>
      <c r="C173" s="821"/>
      <c r="D173" s="821"/>
      <c r="E173" s="821"/>
      <c r="F173" s="821"/>
      <c r="G173" s="821"/>
      <c r="H173" s="821"/>
      <c r="I173" s="821"/>
      <c r="J173" s="821"/>
      <c r="K173" s="821"/>
      <c r="L173" s="821"/>
      <c r="M173" s="822"/>
    </row>
    <row r="174" spans="1:13">
      <c r="A174" s="373" t="s">
        <v>542</v>
      </c>
      <c r="B174" s="374">
        <f>C174+D174+E174</f>
        <v>30</v>
      </c>
      <c r="C174" s="375"/>
      <c r="D174" s="375"/>
      <c r="E174" s="375">
        <v>30</v>
      </c>
      <c r="F174" s="376"/>
      <c r="G174" s="382"/>
      <c r="H174" s="377"/>
      <c r="I174" s="377"/>
      <c r="J174" s="378"/>
      <c r="K174" s="379"/>
      <c r="L174" s="380"/>
      <c r="M174" s="381"/>
    </row>
    <row r="175" spans="1:13">
      <c r="A175" s="373"/>
      <c r="B175" s="374"/>
      <c r="C175" s="375"/>
      <c r="D175" s="375"/>
      <c r="E175" s="375"/>
      <c r="F175" s="376"/>
      <c r="G175" s="382"/>
      <c r="H175" s="377"/>
      <c r="I175" s="377"/>
      <c r="J175" s="383"/>
      <c r="K175" s="384"/>
      <c r="L175" s="380"/>
      <c r="M175" s="381"/>
    </row>
    <row r="176" spans="1:13" ht="32.25" thickBot="1">
      <c r="A176" s="393" t="s">
        <v>545</v>
      </c>
      <c r="B176" s="451">
        <f>C176+D176+E176+F176</f>
        <v>33</v>
      </c>
      <c r="C176" s="418"/>
      <c r="D176" s="418"/>
      <c r="E176" s="418">
        <v>33</v>
      </c>
      <c r="F176" s="395"/>
      <c r="G176" s="453"/>
      <c r="H176" s="419">
        <f>((100*E176)/E174)-100</f>
        <v>10</v>
      </c>
      <c r="I176" s="419">
        <f>((100*B176)/B174)-100</f>
        <v>10</v>
      </c>
      <c r="J176" s="397"/>
      <c r="K176" s="417"/>
      <c r="L176" s="399"/>
      <c r="M176" s="400"/>
    </row>
    <row r="177" spans="1:13">
      <c r="A177" s="820" t="s">
        <v>612</v>
      </c>
      <c r="B177" s="821"/>
      <c r="C177" s="821"/>
      <c r="D177" s="821"/>
      <c r="E177" s="821"/>
      <c r="F177" s="821"/>
      <c r="G177" s="821"/>
      <c r="H177" s="821"/>
      <c r="I177" s="821"/>
      <c r="J177" s="821"/>
      <c r="K177" s="821"/>
      <c r="L177" s="821"/>
      <c r="M177" s="822"/>
    </row>
    <row r="178" spans="1:13">
      <c r="A178" s="373" t="s">
        <v>542</v>
      </c>
      <c r="B178" s="415">
        <f>C178+D178+E178</f>
        <v>25.4</v>
      </c>
      <c r="C178" s="376"/>
      <c r="D178" s="376"/>
      <c r="E178" s="376">
        <v>25.4</v>
      </c>
      <c r="F178" s="376"/>
      <c r="G178" s="382"/>
      <c r="H178" s="377"/>
      <c r="I178" s="377"/>
      <c r="J178" s="378"/>
      <c r="K178" s="379"/>
      <c r="L178" s="380"/>
      <c r="M178" s="381"/>
    </row>
    <row r="179" spans="1:13">
      <c r="A179" s="373"/>
      <c r="B179" s="415"/>
      <c r="C179" s="376"/>
      <c r="D179" s="376"/>
      <c r="E179" s="376"/>
      <c r="F179" s="376"/>
      <c r="G179" s="382"/>
      <c r="H179" s="377"/>
      <c r="I179" s="377"/>
      <c r="J179" s="383"/>
      <c r="K179" s="384"/>
      <c r="L179" s="380"/>
      <c r="M179" s="381"/>
    </row>
    <row r="180" spans="1:13" ht="32.25" thickBot="1">
      <c r="A180" s="393" t="s">
        <v>545</v>
      </c>
      <c r="B180" s="394">
        <f>C180+D180+E180+F180</f>
        <v>0</v>
      </c>
      <c r="C180" s="395"/>
      <c r="D180" s="395"/>
      <c r="E180" s="395"/>
      <c r="F180" s="395"/>
      <c r="G180" s="453"/>
      <c r="H180" s="419">
        <f>((100*E180)/E178)-100</f>
        <v>-100</v>
      </c>
      <c r="I180" s="419">
        <f>((100*B180)/B178)-100</f>
        <v>-100</v>
      </c>
      <c r="J180" s="397"/>
      <c r="K180" s="417"/>
      <c r="L180" s="399"/>
      <c r="M180" s="400"/>
    </row>
    <row r="181" spans="1:13">
      <c r="A181" s="820" t="s">
        <v>613</v>
      </c>
      <c r="B181" s="821"/>
      <c r="C181" s="821"/>
      <c r="D181" s="821"/>
      <c r="E181" s="821"/>
      <c r="F181" s="821"/>
      <c r="G181" s="821"/>
      <c r="H181" s="821"/>
      <c r="I181" s="821"/>
      <c r="J181" s="821"/>
      <c r="K181" s="821"/>
      <c r="L181" s="821"/>
      <c r="M181" s="822"/>
    </row>
    <row r="182" spans="1:13">
      <c r="A182" s="373" t="s">
        <v>542</v>
      </c>
      <c r="B182" s="415">
        <f>C182+D182+E182</f>
        <v>552.5</v>
      </c>
      <c r="C182" s="376">
        <v>40.200000000000003</v>
      </c>
      <c r="D182" s="376"/>
      <c r="E182" s="376">
        <v>512.29999999999995</v>
      </c>
      <c r="F182" s="376"/>
      <c r="G182" s="382"/>
      <c r="H182" s="377"/>
      <c r="I182" s="377"/>
      <c r="J182" s="378"/>
      <c r="K182" s="379"/>
      <c r="L182" s="380"/>
      <c r="M182" s="381"/>
    </row>
    <row r="183" spans="1:13">
      <c r="A183" s="373"/>
      <c r="B183" s="415"/>
      <c r="C183" s="376"/>
      <c r="D183" s="376"/>
      <c r="E183" s="376"/>
      <c r="F183" s="376"/>
      <c r="G183" s="382"/>
      <c r="H183" s="377"/>
      <c r="I183" s="377"/>
      <c r="J183" s="383"/>
      <c r="K183" s="384"/>
      <c r="L183" s="380"/>
      <c r="M183" s="381"/>
    </row>
    <row r="184" spans="1:13" ht="32.25" thickBot="1">
      <c r="A184" s="393" t="s">
        <v>545</v>
      </c>
      <c r="B184" s="451">
        <f>C184+D184+E184+F184</f>
        <v>338</v>
      </c>
      <c r="C184" s="418">
        <v>20</v>
      </c>
      <c r="D184" s="418"/>
      <c r="E184" s="418">
        <v>318</v>
      </c>
      <c r="F184" s="395"/>
      <c r="G184" s="453"/>
      <c r="H184" s="419">
        <f>((100*E184)/E182)-100</f>
        <v>-37.926995900839344</v>
      </c>
      <c r="I184" s="419">
        <f>((100*B184)/B182)-100</f>
        <v>-38.823529411764703</v>
      </c>
      <c r="J184" s="397"/>
      <c r="K184" s="417"/>
      <c r="L184" s="399"/>
      <c r="M184" s="400"/>
    </row>
    <row r="185" spans="1:13">
      <c r="A185" s="820" t="s">
        <v>614</v>
      </c>
      <c r="B185" s="821"/>
      <c r="C185" s="821"/>
      <c r="D185" s="821"/>
      <c r="E185" s="821"/>
      <c r="F185" s="821"/>
      <c r="G185" s="821"/>
      <c r="H185" s="821"/>
      <c r="I185" s="821"/>
      <c r="J185" s="821"/>
      <c r="K185" s="821"/>
      <c r="L185" s="821"/>
      <c r="M185" s="822"/>
    </row>
    <row r="186" spans="1:13">
      <c r="A186" s="373" t="s">
        <v>542</v>
      </c>
      <c r="B186" s="415">
        <f>C186+D186+E186</f>
        <v>65.3</v>
      </c>
      <c r="C186" s="376"/>
      <c r="D186" s="376"/>
      <c r="E186" s="376">
        <v>65.3</v>
      </c>
      <c r="F186" s="376"/>
      <c r="G186" s="382"/>
      <c r="H186" s="377"/>
      <c r="I186" s="377"/>
      <c r="J186" s="378"/>
      <c r="K186" s="379"/>
      <c r="L186" s="380"/>
      <c r="M186" s="381"/>
    </row>
    <row r="187" spans="1:13">
      <c r="A187" s="373"/>
      <c r="B187" s="415"/>
      <c r="C187" s="376"/>
      <c r="D187" s="376"/>
      <c r="E187" s="376"/>
      <c r="F187" s="376"/>
      <c r="G187" s="382"/>
      <c r="H187" s="377"/>
      <c r="I187" s="377"/>
      <c r="J187" s="383"/>
      <c r="K187" s="384"/>
      <c r="L187" s="380"/>
      <c r="M187" s="381"/>
    </row>
    <row r="188" spans="1:13" ht="32.25" thickBot="1">
      <c r="A188" s="393" t="s">
        <v>545</v>
      </c>
      <c r="B188" s="394">
        <f>C188+D188+E188+F188</f>
        <v>296.5</v>
      </c>
      <c r="C188" s="395"/>
      <c r="D188" s="395"/>
      <c r="E188" s="395">
        <v>296.5</v>
      </c>
      <c r="F188" s="395"/>
      <c r="G188" s="453"/>
      <c r="H188" s="419">
        <f>((100*E188)/E186)-100</f>
        <v>354.05819295558962</v>
      </c>
      <c r="I188" s="419">
        <f>((100*B188)/B186)-100</f>
        <v>354.05819295558962</v>
      </c>
      <c r="J188" s="397"/>
      <c r="K188" s="417"/>
      <c r="L188" s="399"/>
      <c r="M188" s="400"/>
    </row>
    <row r="189" spans="1:13">
      <c r="A189" s="820" t="s">
        <v>615</v>
      </c>
      <c r="B189" s="821"/>
      <c r="C189" s="821"/>
      <c r="D189" s="821"/>
      <c r="E189" s="821"/>
      <c r="F189" s="821"/>
      <c r="G189" s="821"/>
      <c r="H189" s="821"/>
      <c r="I189" s="821"/>
      <c r="J189" s="821"/>
      <c r="K189" s="821"/>
      <c r="L189" s="821"/>
      <c r="M189" s="822"/>
    </row>
    <row r="190" spans="1:13">
      <c r="A190" s="373" t="s">
        <v>542</v>
      </c>
      <c r="B190" s="415">
        <f>C190+D190+E190</f>
        <v>302.8</v>
      </c>
      <c r="C190" s="376"/>
      <c r="D190" s="376"/>
      <c r="E190" s="376">
        <v>302.8</v>
      </c>
      <c r="F190" s="376"/>
      <c r="G190" s="382"/>
      <c r="H190" s="377"/>
      <c r="I190" s="377"/>
      <c r="J190" s="378"/>
      <c r="K190" s="379"/>
      <c r="L190" s="380"/>
      <c r="M190" s="381"/>
    </row>
    <row r="191" spans="1:13">
      <c r="A191" s="373"/>
      <c r="B191" s="415"/>
      <c r="C191" s="376"/>
      <c r="D191" s="376"/>
      <c r="E191" s="376"/>
      <c r="F191" s="376"/>
      <c r="G191" s="382"/>
      <c r="H191" s="377"/>
      <c r="I191" s="377"/>
      <c r="J191" s="383"/>
      <c r="K191" s="384"/>
      <c r="L191" s="380"/>
      <c r="M191" s="381"/>
    </row>
    <row r="192" spans="1:13" ht="32.25" thickBot="1">
      <c r="A192" s="393" t="s">
        <v>545</v>
      </c>
      <c r="B192" s="394">
        <f>C192+D192+E192+F192</f>
        <v>86.7</v>
      </c>
      <c r="C192" s="395"/>
      <c r="D192" s="395"/>
      <c r="E192" s="395">
        <v>86.7</v>
      </c>
      <c r="F192" s="395"/>
      <c r="G192" s="453"/>
      <c r="H192" s="419">
        <f>((100*E192)/E190)-100</f>
        <v>-71.367239101717303</v>
      </c>
      <c r="I192" s="419">
        <f>((100*B192)/B190)-100</f>
        <v>-71.367239101717303</v>
      </c>
      <c r="J192" s="397"/>
      <c r="K192" s="417"/>
      <c r="L192" s="399"/>
      <c r="M192" s="400"/>
    </row>
    <row r="193" spans="1:13">
      <c r="A193" s="820" t="s">
        <v>616</v>
      </c>
      <c r="B193" s="821"/>
      <c r="C193" s="821"/>
      <c r="D193" s="821"/>
      <c r="E193" s="821"/>
      <c r="F193" s="821"/>
      <c r="G193" s="821"/>
      <c r="H193" s="821"/>
      <c r="I193" s="821"/>
      <c r="J193" s="821"/>
      <c r="K193" s="821"/>
      <c r="L193" s="821"/>
      <c r="M193" s="822"/>
    </row>
    <row r="194" spans="1:13">
      <c r="A194" s="373" t="s">
        <v>542</v>
      </c>
      <c r="B194" s="374">
        <f>C194+D194+E194</f>
        <v>389</v>
      </c>
      <c r="C194" s="375"/>
      <c r="D194" s="375"/>
      <c r="E194" s="375">
        <v>389</v>
      </c>
      <c r="F194" s="376"/>
      <c r="G194" s="382"/>
      <c r="H194" s="377"/>
      <c r="I194" s="377"/>
      <c r="J194" s="378"/>
      <c r="K194" s="379"/>
      <c r="L194" s="380"/>
      <c r="M194" s="381"/>
    </row>
    <row r="195" spans="1:13">
      <c r="A195" s="373"/>
      <c r="B195" s="374"/>
      <c r="C195" s="375"/>
      <c r="D195" s="375"/>
      <c r="E195" s="375"/>
      <c r="F195" s="376"/>
      <c r="G195" s="382"/>
      <c r="H195" s="377"/>
      <c r="I195" s="377"/>
      <c r="J195" s="383"/>
      <c r="K195" s="384"/>
      <c r="L195" s="380"/>
      <c r="M195" s="381"/>
    </row>
    <row r="196" spans="1:13" ht="32.25" thickBot="1">
      <c r="A196" s="393" t="s">
        <v>545</v>
      </c>
      <c r="B196" s="451">
        <f>C196+D196+E196+F196</f>
        <v>1013.1</v>
      </c>
      <c r="C196" s="418"/>
      <c r="D196" s="418"/>
      <c r="E196" s="418">
        <v>1013.1</v>
      </c>
      <c r="F196" s="395"/>
      <c r="G196" s="453"/>
      <c r="H196" s="419">
        <f>((100*E196)/E194)-100</f>
        <v>160.43701799485859</v>
      </c>
      <c r="I196" s="419">
        <f>((100*B196)/B194)-100</f>
        <v>160.43701799485859</v>
      </c>
      <c r="J196" s="397"/>
      <c r="K196" s="417"/>
      <c r="L196" s="399"/>
      <c r="M196" s="400"/>
    </row>
    <row r="197" spans="1:13">
      <c r="A197" s="820" t="s">
        <v>617</v>
      </c>
      <c r="B197" s="821"/>
      <c r="C197" s="821"/>
      <c r="D197" s="821"/>
      <c r="E197" s="821"/>
      <c r="F197" s="821"/>
      <c r="G197" s="821"/>
      <c r="H197" s="821"/>
      <c r="I197" s="821"/>
      <c r="J197" s="821"/>
      <c r="K197" s="821"/>
      <c r="L197" s="821"/>
      <c r="M197" s="822"/>
    </row>
    <row r="198" spans="1:13">
      <c r="A198" s="373" t="s">
        <v>542</v>
      </c>
      <c r="B198" s="374">
        <f>C198+D198+E198</f>
        <v>558</v>
      </c>
      <c r="C198" s="375"/>
      <c r="D198" s="375"/>
      <c r="E198" s="375">
        <v>558</v>
      </c>
      <c r="F198" s="376"/>
      <c r="G198" s="382"/>
      <c r="H198" s="377"/>
      <c r="I198" s="377"/>
      <c r="J198" s="378"/>
      <c r="K198" s="379"/>
      <c r="L198" s="380"/>
      <c r="M198" s="381"/>
    </row>
    <row r="199" spans="1:13">
      <c r="A199" s="373"/>
      <c r="B199" s="374"/>
      <c r="C199" s="375"/>
      <c r="D199" s="375"/>
      <c r="E199" s="375"/>
      <c r="F199" s="376"/>
      <c r="G199" s="382"/>
      <c r="H199" s="377"/>
      <c r="I199" s="377"/>
      <c r="J199" s="383"/>
      <c r="K199" s="384"/>
      <c r="L199" s="380"/>
      <c r="M199" s="381"/>
    </row>
    <row r="200" spans="1:13" ht="32.25" thickBot="1">
      <c r="A200" s="393" t="s">
        <v>545</v>
      </c>
      <c r="B200" s="451">
        <f>C200+D200+E200+F200</f>
        <v>1907.3</v>
      </c>
      <c r="C200" s="418"/>
      <c r="D200" s="418"/>
      <c r="E200" s="418">
        <v>1907.3</v>
      </c>
      <c r="F200" s="395"/>
      <c r="G200" s="453"/>
      <c r="H200" s="419">
        <f>((100*E200)/E198)-100</f>
        <v>241.81003584229393</v>
      </c>
      <c r="I200" s="419">
        <f>((100*B200)/B198)-100</f>
        <v>241.81003584229393</v>
      </c>
      <c r="J200" s="397"/>
      <c r="K200" s="417"/>
      <c r="L200" s="399"/>
      <c r="M200" s="400"/>
    </row>
    <row r="201" spans="1:13">
      <c r="A201" s="820" t="s">
        <v>618</v>
      </c>
      <c r="B201" s="821"/>
      <c r="C201" s="821"/>
      <c r="D201" s="821"/>
      <c r="E201" s="821"/>
      <c r="F201" s="821"/>
      <c r="G201" s="821"/>
      <c r="H201" s="821"/>
      <c r="I201" s="821"/>
      <c r="J201" s="821"/>
      <c r="K201" s="821"/>
      <c r="L201" s="821"/>
      <c r="M201" s="822"/>
    </row>
    <row r="202" spans="1:13">
      <c r="A202" s="373" t="s">
        <v>542</v>
      </c>
      <c r="B202" s="415">
        <f>C202+D202+E202</f>
        <v>0</v>
      </c>
      <c r="C202" s="376"/>
      <c r="D202" s="376"/>
      <c r="E202" s="376">
        <v>0</v>
      </c>
      <c r="F202" s="376"/>
      <c r="G202" s="382"/>
      <c r="H202" s="377"/>
      <c r="I202" s="377"/>
      <c r="J202" s="378"/>
      <c r="K202" s="379"/>
      <c r="L202" s="380"/>
      <c r="M202" s="381"/>
    </row>
    <row r="203" spans="1:13">
      <c r="A203" s="373"/>
      <c r="B203" s="415"/>
      <c r="C203" s="376"/>
      <c r="D203" s="376"/>
      <c r="E203" s="376"/>
      <c r="F203" s="376"/>
      <c r="G203" s="382"/>
      <c r="H203" s="377"/>
      <c r="I203" s="377"/>
      <c r="J203" s="383"/>
      <c r="K203" s="384"/>
      <c r="L203" s="380"/>
      <c r="M203" s="381"/>
    </row>
    <row r="204" spans="1:13" ht="32.25" thickBot="1">
      <c r="A204" s="393" t="s">
        <v>545</v>
      </c>
      <c r="B204" s="394">
        <f>C204+D204+E204+F204</f>
        <v>0</v>
      </c>
      <c r="C204" s="395"/>
      <c r="D204" s="395"/>
      <c r="E204" s="395">
        <v>0</v>
      </c>
      <c r="F204" s="395"/>
      <c r="G204" s="453"/>
      <c r="H204" s="396"/>
      <c r="I204" s="396"/>
      <c r="J204" s="397"/>
      <c r="K204" s="417"/>
      <c r="L204" s="399"/>
      <c r="M204" s="400"/>
    </row>
    <row r="205" spans="1:13">
      <c r="A205" s="820" t="s">
        <v>619</v>
      </c>
      <c r="B205" s="821"/>
      <c r="C205" s="821"/>
      <c r="D205" s="821"/>
      <c r="E205" s="821"/>
      <c r="F205" s="821"/>
      <c r="G205" s="821"/>
      <c r="H205" s="821"/>
      <c r="I205" s="821"/>
      <c r="J205" s="821"/>
      <c r="K205" s="821"/>
      <c r="L205" s="821"/>
      <c r="M205" s="822"/>
    </row>
    <row r="206" spans="1:13">
      <c r="A206" s="373" t="s">
        <v>542</v>
      </c>
      <c r="B206" s="374">
        <f>C206+D206+E206</f>
        <v>2200</v>
      </c>
      <c r="C206" s="375"/>
      <c r="D206" s="375"/>
      <c r="E206" s="375">
        <v>2200</v>
      </c>
      <c r="F206" s="376"/>
      <c r="G206" s="382"/>
      <c r="H206" s="377"/>
      <c r="I206" s="377"/>
      <c r="J206" s="378"/>
      <c r="K206" s="379"/>
      <c r="L206" s="380"/>
      <c r="M206" s="381"/>
    </row>
    <row r="207" spans="1:13">
      <c r="A207" s="373"/>
      <c r="B207" s="374"/>
      <c r="C207" s="375"/>
      <c r="D207" s="375"/>
      <c r="E207" s="375"/>
      <c r="F207" s="376"/>
      <c r="G207" s="382"/>
      <c r="H207" s="377"/>
      <c r="I207" s="377"/>
      <c r="J207" s="383"/>
      <c r="K207" s="384"/>
      <c r="L207" s="380"/>
      <c r="M207" s="381"/>
    </row>
    <row r="208" spans="1:13" ht="32.25" thickBot="1">
      <c r="A208" s="385" t="s">
        <v>545</v>
      </c>
      <c r="B208" s="374">
        <f>C208+D208+E208+F208</f>
        <v>966.8</v>
      </c>
      <c r="C208" s="387"/>
      <c r="D208" s="387"/>
      <c r="E208" s="387">
        <v>966.8</v>
      </c>
      <c r="F208" s="410"/>
      <c r="G208" s="459"/>
      <c r="H208" s="388">
        <f>((100*E208)/E206)-100</f>
        <v>-56.054545454545455</v>
      </c>
      <c r="I208" s="388">
        <f>((100*B208)/B206)-100</f>
        <v>-56.054545454545455</v>
      </c>
      <c r="J208" s="389"/>
      <c r="K208" s="407"/>
      <c r="L208" s="391"/>
      <c r="M208" s="392"/>
    </row>
    <row r="209" spans="1:13" ht="23.25" customHeight="1" thickBot="1">
      <c r="A209" s="811" t="s">
        <v>620</v>
      </c>
      <c r="B209" s="812"/>
      <c r="C209" s="812"/>
      <c r="D209" s="812"/>
      <c r="E209" s="812"/>
      <c r="F209" s="812"/>
      <c r="G209" s="812"/>
      <c r="H209" s="812"/>
      <c r="I209" s="812"/>
      <c r="J209" s="812"/>
      <c r="K209" s="812"/>
      <c r="L209" s="812"/>
      <c r="M209" s="813"/>
    </row>
    <row r="210" spans="1:13">
      <c r="A210" s="463" t="s">
        <v>542</v>
      </c>
      <c r="B210" s="890">
        <f t="shared" ref="B210:D210" si="0">B206+B202+B198+B194+B190+B186+B182+B178+B174+B170+B166+B162+B154+B150</f>
        <v>4357.2</v>
      </c>
      <c r="C210" s="464">
        <f t="shared" si="0"/>
        <v>40.200000000000003</v>
      </c>
      <c r="D210" s="464">
        <f t="shared" si="0"/>
        <v>0</v>
      </c>
      <c r="E210" s="464">
        <f>E206+E202+E198+E194+E190+E186+E182+E178+E174+E170+E166+E162+E154+E150</f>
        <v>4317.0000000000009</v>
      </c>
      <c r="F210" s="464"/>
      <c r="G210" s="895"/>
      <c r="H210" s="896"/>
      <c r="I210" s="896"/>
      <c r="J210" s="897"/>
      <c r="K210" s="897"/>
      <c r="L210" s="897"/>
      <c r="M210" s="898"/>
    </row>
    <row r="211" spans="1:13">
      <c r="A211" s="475"/>
      <c r="B211" s="434"/>
      <c r="C211" s="433"/>
      <c r="D211" s="433"/>
      <c r="E211" s="433"/>
      <c r="F211" s="433"/>
      <c r="G211" s="382"/>
      <c r="H211" s="472"/>
      <c r="I211" s="472"/>
      <c r="J211" s="473"/>
      <c r="K211" s="473"/>
      <c r="L211" s="473"/>
      <c r="M211" s="474"/>
    </row>
    <row r="212" spans="1:13" ht="32.25" thickBot="1">
      <c r="A212" s="465" t="s">
        <v>545</v>
      </c>
      <c r="B212" s="466">
        <f>B208+B204+B200+B196+B192+B188+B184+B180+B176+B172+B168+B164+B156+B152+B160</f>
        <v>4847.5999999999995</v>
      </c>
      <c r="C212" s="467">
        <f>C208+C204+C200+C196+C192+C188+C184+C180+C176+C172+C168+C164+C156+C152+C160</f>
        <v>20</v>
      </c>
      <c r="D212" s="467">
        <f t="shared" ref="D212:F212" si="1">D208+D204+D200+D196+D192+D188+D184+D180+D176+D172+D168+D164+D156+D152+D160</f>
        <v>0</v>
      </c>
      <c r="E212" s="467">
        <f t="shared" si="1"/>
        <v>4827.5999999999995</v>
      </c>
      <c r="F212" s="467">
        <f t="shared" si="1"/>
        <v>0</v>
      </c>
      <c r="G212" s="453"/>
      <c r="H212" s="467">
        <f>((100*E212)/E210)-100</f>
        <v>11.827658095899892</v>
      </c>
      <c r="I212" s="467">
        <f>((100*B212)/B210)-100</f>
        <v>11.254934361516561</v>
      </c>
      <c r="J212" s="899"/>
      <c r="K212" s="899"/>
      <c r="L212" s="899"/>
      <c r="M212" s="900"/>
    </row>
    <row r="213" spans="1:13" ht="22.5" customHeight="1">
      <c r="A213" s="823" t="s">
        <v>621</v>
      </c>
      <c r="B213" s="824"/>
      <c r="C213" s="824"/>
      <c r="D213" s="824"/>
      <c r="E213" s="824"/>
      <c r="F213" s="824"/>
      <c r="G213" s="824"/>
      <c r="H213" s="824"/>
      <c r="I213" s="824"/>
      <c r="J213" s="824"/>
      <c r="K213" s="824"/>
      <c r="L213" s="824"/>
      <c r="M213" s="825"/>
    </row>
    <row r="214" spans="1:13" ht="14.25" customHeight="1" thickBot="1">
      <c r="A214" s="476"/>
      <c r="B214" s="681"/>
      <c r="C214" s="478"/>
      <c r="D214" s="843"/>
      <c r="E214" s="843"/>
      <c r="F214" s="843"/>
      <c r="G214" s="843"/>
      <c r="H214" s="843"/>
      <c r="I214" s="843"/>
      <c r="J214" s="843"/>
      <c r="K214" s="843"/>
      <c r="L214" s="843"/>
      <c r="M214" s="844"/>
    </row>
    <row r="215" spans="1:13" ht="16.5" customHeight="1">
      <c r="A215" s="820" t="s">
        <v>622</v>
      </c>
      <c r="B215" s="821"/>
      <c r="C215" s="821"/>
      <c r="D215" s="821"/>
      <c r="E215" s="821"/>
      <c r="F215" s="821"/>
      <c r="G215" s="821"/>
      <c r="H215" s="821"/>
      <c r="I215" s="821"/>
      <c r="J215" s="821"/>
      <c r="K215" s="821"/>
      <c r="L215" s="821"/>
      <c r="M215" s="822"/>
    </row>
    <row r="216" spans="1:13">
      <c r="A216" s="373" t="s">
        <v>542</v>
      </c>
      <c r="B216" s="374">
        <f>C216+D216+E216</f>
        <v>258.2</v>
      </c>
      <c r="C216" s="375"/>
      <c r="D216" s="375"/>
      <c r="E216" s="375">
        <v>258.2</v>
      </c>
      <c r="F216" s="376"/>
      <c r="G216" s="382"/>
      <c r="H216" s="377"/>
      <c r="I216" s="377"/>
      <c r="J216" s="378"/>
      <c r="K216" s="379"/>
      <c r="L216" s="380"/>
      <c r="M216" s="381"/>
    </row>
    <row r="217" spans="1:13">
      <c r="A217" s="373"/>
      <c r="B217" s="415"/>
      <c r="C217" s="376"/>
      <c r="D217" s="376"/>
      <c r="E217" s="376"/>
      <c r="F217" s="376"/>
      <c r="G217" s="382"/>
      <c r="H217" s="377"/>
      <c r="I217" s="377"/>
      <c r="J217" s="383"/>
      <c r="K217" s="384"/>
      <c r="L217" s="380"/>
      <c r="M217" s="381"/>
    </row>
    <row r="218" spans="1:13" ht="32.25" thickBot="1">
      <c r="A218" s="393" t="s">
        <v>545</v>
      </c>
      <c r="B218" s="394">
        <f t="shared" ref="B218" si="2">C218+D218+E218</f>
        <v>182.46100000000001</v>
      </c>
      <c r="C218" s="395"/>
      <c r="D218" s="395"/>
      <c r="E218" s="395">
        <v>182.46100000000001</v>
      </c>
      <c r="F218" s="395"/>
      <c r="G218" s="453"/>
      <c r="H218" s="419">
        <f>((100*B218)/B216)-100</f>
        <v>-29.333462432223072</v>
      </c>
      <c r="I218" s="419">
        <f>((100*B218)/B216)-100</f>
        <v>-29.333462432223072</v>
      </c>
      <c r="J218" s="397"/>
      <c r="K218" s="417" t="s">
        <v>623</v>
      </c>
      <c r="L218" s="399"/>
      <c r="M218" s="400"/>
    </row>
    <row r="219" spans="1:13">
      <c r="A219" s="820" t="s">
        <v>624</v>
      </c>
      <c r="B219" s="821"/>
      <c r="C219" s="821"/>
      <c r="D219" s="821"/>
      <c r="E219" s="821"/>
      <c r="F219" s="821"/>
      <c r="G219" s="821"/>
      <c r="H219" s="821"/>
      <c r="I219" s="821"/>
      <c r="J219" s="821"/>
      <c r="K219" s="821"/>
      <c r="L219" s="821"/>
      <c r="M219" s="822"/>
    </row>
    <row r="220" spans="1:13">
      <c r="A220" s="373" t="s">
        <v>542</v>
      </c>
      <c r="B220" s="415">
        <f>C220+D220+E220</f>
        <v>60.8</v>
      </c>
      <c r="C220" s="376"/>
      <c r="D220" s="376"/>
      <c r="E220" s="376">
        <v>60.8</v>
      </c>
      <c r="F220" s="376"/>
      <c r="G220" s="382"/>
      <c r="H220" s="377"/>
      <c r="I220" s="377"/>
      <c r="J220" s="378"/>
      <c r="K220" s="379"/>
      <c r="L220" s="380"/>
      <c r="M220" s="381"/>
    </row>
    <row r="221" spans="1:13">
      <c r="A221" s="373"/>
      <c r="B221" s="415"/>
      <c r="C221" s="376"/>
      <c r="D221" s="376"/>
      <c r="E221" s="376"/>
      <c r="F221" s="376"/>
      <c r="G221" s="382"/>
      <c r="H221" s="377"/>
      <c r="I221" s="377"/>
      <c r="J221" s="383"/>
      <c r="K221" s="384"/>
      <c r="L221" s="380"/>
      <c r="M221" s="381"/>
    </row>
    <row r="222" spans="1:13" ht="32.25" thickBot="1">
      <c r="A222" s="393" t="s">
        <v>545</v>
      </c>
      <c r="B222" s="394">
        <f t="shared" ref="B222" si="3">C222+D222+E222</f>
        <v>35.9</v>
      </c>
      <c r="C222" s="395"/>
      <c r="D222" s="395"/>
      <c r="E222" s="395">
        <v>35.9</v>
      </c>
      <c r="F222" s="395"/>
      <c r="G222" s="453"/>
      <c r="H222" s="419">
        <f>((100*E222)/E220)-100</f>
        <v>-40.953947368421048</v>
      </c>
      <c r="I222" s="419">
        <f>((100*B222)/B220)-100</f>
        <v>-40.953947368421048</v>
      </c>
      <c r="J222" s="397"/>
      <c r="K222" s="417"/>
      <c r="L222" s="399"/>
      <c r="M222" s="400"/>
    </row>
    <row r="223" spans="1:13">
      <c r="A223" s="820" t="s">
        <v>625</v>
      </c>
      <c r="B223" s="821"/>
      <c r="C223" s="821"/>
      <c r="D223" s="821"/>
      <c r="E223" s="821"/>
      <c r="F223" s="821"/>
      <c r="G223" s="821"/>
      <c r="H223" s="821"/>
      <c r="I223" s="821"/>
      <c r="J223" s="821"/>
      <c r="K223" s="821"/>
      <c r="L223" s="821"/>
      <c r="M223" s="822"/>
    </row>
    <row r="224" spans="1:13">
      <c r="A224" s="373" t="s">
        <v>542</v>
      </c>
      <c r="B224" s="374">
        <f>C224+D224+E224</f>
        <v>89.2</v>
      </c>
      <c r="C224" s="375"/>
      <c r="D224" s="375"/>
      <c r="E224" s="375">
        <v>89.2</v>
      </c>
      <c r="F224" s="376"/>
      <c r="G224" s="382"/>
      <c r="H224" s="377"/>
      <c r="I224" s="377"/>
      <c r="J224" s="378"/>
      <c r="K224" s="379"/>
      <c r="L224" s="380"/>
      <c r="M224" s="381"/>
    </row>
    <row r="225" spans="1:13">
      <c r="A225" s="373"/>
      <c r="B225" s="374"/>
      <c r="C225" s="375"/>
      <c r="D225" s="375"/>
      <c r="E225" s="375"/>
      <c r="F225" s="376"/>
      <c r="G225" s="382"/>
      <c r="H225" s="377"/>
      <c r="I225" s="377"/>
      <c r="J225" s="383"/>
      <c r="K225" s="384"/>
      <c r="L225" s="380"/>
      <c r="M225" s="381"/>
    </row>
    <row r="226" spans="1:13" ht="32.25" thickBot="1">
      <c r="A226" s="385" t="s">
        <v>545</v>
      </c>
      <c r="B226" s="386">
        <f t="shared" ref="B226" si="4">C226+D226+E226</f>
        <v>183</v>
      </c>
      <c r="C226" s="387"/>
      <c r="D226" s="387"/>
      <c r="E226" s="387">
        <v>183</v>
      </c>
      <c r="F226" s="410"/>
      <c r="G226" s="459"/>
      <c r="H226" s="388">
        <f>((100*E226)/E224)-100</f>
        <v>105.15695067264573</v>
      </c>
      <c r="I226" s="388">
        <f>((100*B226)/B224)-100</f>
        <v>105.15695067264573</v>
      </c>
      <c r="J226" s="389"/>
      <c r="K226" s="407"/>
      <c r="L226" s="391"/>
      <c r="M226" s="392"/>
    </row>
    <row r="227" spans="1:13" ht="24.75" customHeight="1" thickBot="1">
      <c r="A227" s="811" t="s">
        <v>626</v>
      </c>
      <c r="B227" s="812"/>
      <c r="C227" s="812"/>
      <c r="D227" s="812"/>
      <c r="E227" s="812"/>
      <c r="F227" s="812"/>
      <c r="G227" s="812"/>
      <c r="H227" s="812"/>
      <c r="I227" s="812"/>
      <c r="J227" s="812"/>
      <c r="K227" s="812"/>
      <c r="L227" s="812"/>
      <c r="M227" s="813"/>
    </row>
    <row r="228" spans="1:13">
      <c r="A228" s="470" t="s">
        <v>542</v>
      </c>
      <c r="B228" s="893">
        <f t="shared" ref="B228:D228" si="5">B224+B220+B216</f>
        <v>408.2</v>
      </c>
      <c r="C228" s="479">
        <f t="shared" si="5"/>
        <v>0</v>
      </c>
      <c r="D228" s="479">
        <f t="shared" si="5"/>
        <v>0</v>
      </c>
      <c r="E228" s="479">
        <f>E224+E220+E216</f>
        <v>408.2</v>
      </c>
      <c r="F228" s="479"/>
      <c r="G228" s="480"/>
      <c r="H228" s="481"/>
      <c r="I228" s="481"/>
      <c r="J228" s="482"/>
      <c r="K228" s="483"/>
      <c r="L228" s="484"/>
      <c r="M228" s="485"/>
    </row>
    <row r="229" spans="1:13">
      <c r="A229" s="475"/>
      <c r="B229" s="486"/>
      <c r="C229" s="487"/>
      <c r="D229" s="487"/>
      <c r="E229" s="487"/>
      <c r="F229" s="487"/>
      <c r="G229" s="382"/>
      <c r="H229" s="377"/>
      <c r="I229" s="377"/>
      <c r="J229" s="382"/>
      <c r="K229" s="488"/>
      <c r="L229" s="488"/>
      <c r="M229" s="489"/>
    </row>
    <row r="230" spans="1:13" ht="32.25" thickBot="1">
      <c r="A230" s="465" t="s">
        <v>545</v>
      </c>
      <c r="B230" s="894">
        <f t="shared" ref="B230:D230" si="6">B226+B222+B218</f>
        <v>401.36099999999999</v>
      </c>
      <c r="C230" s="490">
        <f t="shared" si="6"/>
        <v>0</v>
      </c>
      <c r="D230" s="490">
        <f t="shared" si="6"/>
        <v>0</v>
      </c>
      <c r="E230" s="490">
        <f>E226+E222+E218</f>
        <v>401.36099999999999</v>
      </c>
      <c r="F230" s="490">
        <f>F226+F222+F218</f>
        <v>0</v>
      </c>
      <c r="G230" s="453"/>
      <c r="H230" s="419">
        <f>((100*E230)/E228)-100</f>
        <v>-1.6754042136207801</v>
      </c>
      <c r="I230" s="419">
        <f>((100*B230)/B228)-100</f>
        <v>-1.6754042136207801</v>
      </c>
      <c r="J230" s="453"/>
      <c r="K230" s="491"/>
      <c r="L230" s="491"/>
      <c r="M230" s="492"/>
    </row>
    <row r="231" spans="1:13" ht="25.5" customHeight="1">
      <c r="A231" s="823" t="s">
        <v>627</v>
      </c>
      <c r="B231" s="824"/>
      <c r="C231" s="824"/>
      <c r="D231" s="824"/>
      <c r="E231" s="824"/>
      <c r="F231" s="824"/>
      <c r="G231" s="824"/>
      <c r="H231" s="824"/>
      <c r="I231" s="824"/>
      <c r="J231" s="824"/>
      <c r="K231" s="824"/>
      <c r="L231" s="824"/>
      <c r="M231" s="825"/>
    </row>
    <row r="232" spans="1:13" ht="15" customHeight="1" thickBot="1">
      <c r="A232" s="476"/>
      <c r="B232" s="477"/>
      <c r="C232" s="478"/>
      <c r="D232" s="478"/>
      <c r="E232" s="478"/>
      <c r="F232" s="478"/>
      <c r="G232" s="478"/>
      <c r="H232" s="836"/>
      <c r="I232" s="836"/>
      <c r="J232" s="836"/>
      <c r="K232" s="836"/>
      <c r="L232" s="836"/>
      <c r="M232" s="837"/>
    </row>
    <row r="233" spans="1:13">
      <c r="A233" s="838" t="s">
        <v>628</v>
      </c>
      <c r="B233" s="839"/>
      <c r="C233" s="839"/>
      <c r="D233" s="839"/>
      <c r="E233" s="839"/>
      <c r="F233" s="839"/>
      <c r="G233" s="839"/>
      <c r="H233" s="839"/>
      <c r="I233" s="839"/>
      <c r="J233" s="839"/>
      <c r="K233" s="839"/>
      <c r="L233" s="839"/>
      <c r="M233" s="840"/>
    </row>
    <row r="234" spans="1:13">
      <c r="A234" s="373" t="s">
        <v>542</v>
      </c>
      <c r="B234" s="493">
        <f>C234+D234+E234</f>
        <v>1014</v>
      </c>
      <c r="C234" s="494"/>
      <c r="D234" s="494"/>
      <c r="E234" s="494">
        <v>1014</v>
      </c>
      <c r="F234" s="495"/>
      <c r="G234" s="376"/>
      <c r="H234" s="496"/>
      <c r="I234" s="496"/>
      <c r="J234" s="378"/>
      <c r="K234" s="379"/>
      <c r="L234" s="380"/>
      <c r="M234" s="381"/>
    </row>
    <row r="235" spans="1:13">
      <c r="A235" s="373"/>
      <c r="B235" s="415"/>
      <c r="C235" s="376"/>
      <c r="D235" s="376"/>
      <c r="E235" s="376"/>
      <c r="F235" s="376"/>
      <c r="G235" s="376"/>
      <c r="H235" s="496"/>
      <c r="I235" s="496"/>
      <c r="J235" s="383"/>
      <c r="K235" s="384"/>
      <c r="L235" s="380"/>
      <c r="M235" s="381"/>
    </row>
    <row r="236" spans="1:13" ht="31.5">
      <c r="A236" s="413" t="s">
        <v>545</v>
      </c>
      <c r="B236" s="497"/>
      <c r="C236" s="498"/>
      <c r="D236" s="498"/>
      <c r="E236" s="498"/>
      <c r="F236" s="498"/>
      <c r="G236" s="498"/>
      <c r="H236" s="499"/>
      <c r="I236" s="499"/>
      <c r="J236" s="383"/>
      <c r="K236" s="500"/>
      <c r="L236" s="380"/>
      <c r="M236" s="501"/>
    </row>
    <row r="237" spans="1:13">
      <c r="A237" s="833"/>
      <c r="B237" s="834"/>
      <c r="C237" s="834"/>
      <c r="D237" s="834"/>
      <c r="E237" s="834"/>
      <c r="F237" s="834"/>
      <c r="G237" s="834"/>
      <c r="H237" s="834"/>
      <c r="I237" s="834"/>
      <c r="J237" s="834"/>
      <c r="K237" s="834"/>
      <c r="L237" s="834"/>
      <c r="M237" s="835"/>
    </row>
    <row r="238" spans="1:13">
      <c r="A238" s="833" t="s">
        <v>629</v>
      </c>
      <c r="B238" s="834"/>
      <c r="C238" s="834"/>
      <c r="D238" s="834"/>
      <c r="E238" s="834"/>
      <c r="F238" s="834"/>
      <c r="G238" s="834"/>
      <c r="H238" s="834"/>
      <c r="I238" s="834"/>
      <c r="J238" s="834"/>
      <c r="K238" s="834"/>
      <c r="L238" s="834"/>
      <c r="M238" s="835"/>
    </row>
    <row r="239" spans="1:13">
      <c r="A239" s="373" t="s">
        <v>542</v>
      </c>
      <c r="B239" s="502">
        <f>C239+D239+E239</f>
        <v>2675.1</v>
      </c>
      <c r="C239" s="495">
        <v>505.1</v>
      </c>
      <c r="D239" s="495">
        <v>7.3</v>
      </c>
      <c r="E239" s="495">
        <v>2162.6999999999998</v>
      </c>
      <c r="F239" s="495"/>
      <c r="G239" s="376"/>
      <c r="H239" s="496"/>
      <c r="I239" s="496"/>
      <c r="J239" s="378"/>
      <c r="K239" s="379"/>
      <c r="L239" s="380"/>
      <c r="M239" s="381"/>
    </row>
    <row r="240" spans="1:13">
      <c r="A240" s="373"/>
      <c r="B240" s="415"/>
      <c r="C240" s="376"/>
      <c r="D240" s="376"/>
      <c r="E240" s="376"/>
      <c r="F240" s="376"/>
      <c r="G240" s="376"/>
      <c r="H240" s="496"/>
      <c r="I240" s="496"/>
      <c r="J240" s="383"/>
      <c r="K240" s="384"/>
      <c r="L240" s="380"/>
      <c r="M240" s="381"/>
    </row>
    <row r="241" spans="1:13" ht="32.25" thickBot="1">
      <c r="A241" s="393" t="s">
        <v>545</v>
      </c>
      <c r="B241" s="503"/>
      <c r="C241" s="504"/>
      <c r="D241" s="504"/>
      <c r="E241" s="504"/>
      <c r="F241" s="504"/>
      <c r="G241" s="504"/>
      <c r="H241" s="505"/>
      <c r="I241" s="505"/>
      <c r="J241" s="397"/>
      <c r="K241" s="506"/>
      <c r="L241" s="399"/>
      <c r="M241" s="507"/>
    </row>
    <row r="242" spans="1:13">
      <c r="A242" s="820" t="s">
        <v>418</v>
      </c>
      <c r="B242" s="821"/>
      <c r="C242" s="821"/>
      <c r="D242" s="821"/>
      <c r="E242" s="821"/>
      <c r="F242" s="821"/>
      <c r="G242" s="821"/>
      <c r="H242" s="821"/>
      <c r="I242" s="821"/>
      <c r="J242" s="821"/>
      <c r="K242" s="821"/>
      <c r="L242" s="821"/>
      <c r="M242" s="822"/>
    </row>
    <row r="243" spans="1:13">
      <c r="A243" s="373" t="s">
        <v>542</v>
      </c>
      <c r="B243" s="497"/>
      <c r="C243" s="498"/>
      <c r="D243" s="498"/>
      <c r="E243" s="498"/>
      <c r="F243" s="498"/>
      <c r="G243" s="498"/>
      <c r="H243" s="499"/>
      <c r="I243" s="499"/>
      <c r="J243" s="383"/>
      <c r="K243" s="500"/>
      <c r="L243" s="380"/>
      <c r="M243" s="501"/>
    </row>
    <row r="244" spans="1:13">
      <c r="A244" s="373"/>
      <c r="B244" s="415"/>
      <c r="C244" s="376"/>
      <c r="D244" s="376"/>
      <c r="E244" s="376"/>
      <c r="F244" s="376"/>
      <c r="G244" s="376"/>
      <c r="H244" s="496"/>
      <c r="I244" s="496"/>
      <c r="J244" s="383"/>
      <c r="K244" s="384"/>
      <c r="L244" s="380"/>
      <c r="M244" s="381"/>
    </row>
    <row r="245" spans="1:13" ht="32.25" thickBot="1">
      <c r="A245" s="393" t="s">
        <v>545</v>
      </c>
      <c r="B245" s="394">
        <f>C245+D245+E245</f>
        <v>3778.2</v>
      </c>
      <c r="C245" s="395">
        <v>565</v>
      </c>
      <c r="D245" s="395">
        <v>8.1999999999999993</v>
      </c>
      <c r="E245" s="395">
        <v>3205</v>
      </c>
      <c r="F245" s="395"/>
      <c r="G245" s="419">
        <f>C245/C239*100-100</f>
        <v>11.859037814294197</v>
      </c>
      <c r="H245" s="419">
        <f>((100*E245)/(E239+E234))-100</f>
        <v>0.89086158592250797</v>
      </c>
      <c r="I245" s="419">
        <f>((100*B245)/(B239+B234))-100</f>
        <v>2.4152232251768737</v>
      </c>
      <c r="J245" s="397"/>
      <c r="K245" s="690" t="s">
        <v>782</v>
      </c>
      <c r="L245" s="399"/>
      <c r="M245" s="400"/>
    </row>
    <row r="246" spans="1:13">
      <c r="A246" s="820" t="s">
        <v>630</v>
      </c>
      <c r="B246" s="821"/>
      <c r="C246" s="821"/>
      <c r="D246" s="821"/>
      <c r="E246" s="821"/>
      <c r="F246" s="821"/>
      <c r="G246" s="821"/>
      <c r="H246" s="821"/>
      <c r="I246" s="821"/>
      <c r="J246" s="821"/>
      <c r="K246" s="821"/>
      <c r="L246" s="821"/>
      <c r="M246" s="822"/>
    </row>
    <row r="247" spans="1:13">
      <c r="A247" s="373" t="s">
        <v>542</v>
      </c>
      <c r="B247" s="493">
        <f>C247+D247+E247</f>
        <v>60</v>
      </c>
      <c r="C247" s="494"/>
      <c r="D247" s="494"/>
      <c r="E247" s="494">
        <v>60</v>
      </c>
      <c r="F247" s="495"/>
      <c r="G247" s="382"/>
      <c r="H247" s="377"/>
      <c r="I247" s="377"/>
      <c r="J247" s="378"/>
      <c r="K247" s="379"/>
      <c r="L247" s="380"/>
      <c r="M247" s="381"/>
    </row>
    <row r="248" spans="1:13">
      <c r="A248" s="373"/>
      <c r="B248" s="374"/>
      <c r="C248" s="375"/>
      <c r="D248" s="375"/>
      <c r="E248" s="375"/>
      <c r="F248" s="376"/>
      <c r="G248" s="382"/>
      <c r="H248" s="377"/>
      <c r="I248" s="377"/>
      <c r="J248" s="383"/>
      <c r="K248" s="384"/>
      <c r="L248" s="380"/>
      <c r="M248" s="381"/>
    </row>
    <row r="249" spans="1:13" ht="32.25" thickBot="1">
      <c r="A249" s="393" t="s">
        <v>545</v>
      </c>
      <c r="B249" s="451">
        <f t="shared" ref="B249" si="7">C249+D249+E249</f>
        <v>60</v>
      </c>
      <c r="C249" s="418"/>
      <c r="D249" s="418"/>
      <c r="E249" s="418">
        <v>60</v>
      </c>
      <c r="F249" s="395"/>
      <c r="G249" s="453"/>
      <c r="H249" s="419">
        <f>((100*E249)/E247)-100</f>
        <v>0</v>
      </c>
      <c r="I249" s="419">
        <f>((100*B249)/B247)-100</f>
        <v>0</v>
      </c>
      <c r="J249" s="397"/>
      <c r="K249" s="417"/>
      <c r="L249" s="399"/>
      <c r="M249" s="400"/>
    </row>
    <row r="250" spans="1:13">
      <c r="A250" s="820" t="s">
        <v>631</v>
      </c>
      <c r="B250" s="821"/>
      <c r="C250" s="821"/>
      <c r="D250" s="821"/>
      <c r="E250" s="821"/>
      <c r="F250" s="821"/>
      <c r="G250" s="821"/>
      <c r="H250" s="821"/>
      <c r="I250" s="821"/>
      <c r="J250" s="821"/>
      <c r="K250" s="821"/>
      <c r="L250" s="821"/>
      <c r="M250" s="822"/>
    </row>
    <row r="251" spans="1:13">
      <c r="A251" s="373" t="s">
        <v>542</v>
      </c>
      <c r="B251" s="493">
        <f>C251+D251+E251</f>
        <v>665</v>
      </c>
      <c r="C251" s="494"/>
      <c r="D251" s="494"/>
      <c r="E251" s="494">
        <v>665</v>
      </c>
      <c r="F251" s="495"/>
      <c r="G251" s="382"/>
      <c r="H251" s="377"/>
      <c r="I251" s="377"/>
      <c r="J251" s="378"/>
      <c r="K251" s="379"/>
      <c r="L251" s="380"/>
      <c r="M251" s="381"/>
    </row>
    <row r="252" spans="1:13" ht="15" customHeight="1">
      <c r="A252" s="373"/>
      <c r="B252" s="415"/>
      <c r="C252" s="376"/>
      <c r="D252" s="376"/>
      <c r="E252" s="376"/>
      <c r="F252" s="376"/>
      <c r="G252" s="382"/>
      <c r="H252" s="377"/>
      <c r="I252" s="377"/>
      <c r="J252" s="383"/>
      <c r="K252" s="384"/>
      <c r="L252" s="380"/>
      <c r="M252" s="381"/>
    </row>
    <row r="253" spans="1:13" ht="31.5">
      <c r="A253" s="413" t="s">
        <v>545</v>
      </c>
      <c r="B253" s="415">
        <f t="shared" ref="B253" si="8">C253+D253+E253</f>
        <v>187.3</v>
      </c>
      <c r="C253" s="376"/>
      <c r="D253" s="376"/>
      <c r="E253" s="376">
        <v>187.3</v>
      </c>
      <c r="F253" s="376"/>
      <c r="G253" s="382"/>
      <c r="H253" s="414">
        <f>((100*E253)/E251)-100</f>
        <v>-71.834586466165405</v>
      </c>
      <c r="I253" s="414">
        <f>((100*B253)/B251)-100</f>
        <v>-71.834586466165405</v>
      </c>
      <c r="J253" s="378">
        <v>99.1</v>
      </c>
      <c r="K253" s="384" t="s">
        <v>632</v>
      </c>
      <c r="L253" s="380"/>
      <c r="M253" s="381"/>
    </row>
    <row r="254" spans="1:13">
      <c r="A254" s="413"/>
      <c r="B254" s="415"/>
      <c r="C254" s="376"/>
      <c r="D254" s="376"/>
      <c r="E254" s="376"/>
      <c r="F254" s="376"/>
      <c r="G254" s="382"/>
      <c r="H254" s="377"/>
      <c r="I254" s="377"/>
      <c r="J254" s="378">
        <v>66</v>
      </c>
      <c r="K254" s="384" t="s">
        <v>633</v>
      </c>
      <c r="L254" s="380"/>
      <c r="M254" s="508"/>
    </row>
    <row r="255" spans="1:13" ht="16.5" thickBot="1">
      <c r="A255" s="393"/>
      <c r="B255" s="394"/>
      <c r="C255" s="395"/>
      <c r="D255" s="395"/>
      <c r="E255" s="395"/>
      <c r="F255" s="395"/>
      <c r="G255" s="453"/>
      <c r="H255" s="396"/>
      <c r="I255" s="396"/>
      <c r="J255" s="397">
        <v>22.2</v>
      </c>
      <c r="K255" s="417" t="s">
        <v>634</v>
      </c>
      <c r="L255" s="399"/>
      <c r="M255" s="509"/>
    </row>
    <row r="256" spans="1:13">
      <c r="A256" s="820" t="s">
        <v>60</v>
      </c>
      <c r="B256" s="821"/>
      <c r="C256" s="821"/>
      <c r="D256" s="821"/>
      <c r="E256" s="821"/>
      <c r="F256" s="821"/>
      <c r="G256" s="821"/>
      <c r="H256" s="821"/>
      <c r="I256" s="821"/>
      <c r="J256" s="821"/>
      <c r="K256" s="821"/>
      <c r="L256" s="821"/>
      <c r="M256" s="822"/>
    </row>
    <row r="257" spans="1:13">
      <c r="A257" s="373" t="s">
        <v>542</v>
      </c>
      <c r="B257" s="415"/>
      <c r="C257" s="376"/>
      <c r="D257" s="376"/>
      <c r="E257" s="376"/>
      <c r="F257" s="376"/>
      <c r="G257" s="382"/>
      <c r="H257" s="377"/>
      <c r="I257" s="377"/>
      <c r="J257" s="378"/>
      <c r="K257" s="379"/>
      <c r="L257" s="380"/>
      <c r="M257" s="381"/>
    </row>
    <row r="258" spans="1:13">
      <c r="A258" s="373"/>
      <c r="B258" s="415"/>
      <c r="C258" s="376"/>
      <c r="D258" s="376"/>
      <c r="E258" s="376"/>
      <c r="F258" s="376"/>
      <c r="G258" s="382"/>
      <c r="H258" s="377"/>
      <c r="I258" s="377"/>
      <c r="J258" s="383"/>
      <c r="K258" s="384"/>
      <c r="L258" s="380"/>
      <c r="M258" s="381"/>
    </row>
    <row r="259" spans="1:13" ht="31.5">
      <c r="A259" s="413" t="s">
        <v>545</v>
      </c>
      <c r="B259" s="374">
        <f>C259+D259+E259</f>
        <v>240</v>
      </c>
      <c r="C259" s="375"/>
      <c r="D259" s="375"/>
      <c r="E259" s="375">
        <v>240</v>
      </c>
      <c r="F259" s="376"/>
      <c r="G259" s="382"/>
      <c r="H259" s="377"/>
      <c r="I259" s="377"/>
      <c r="J259" s="378">
        <v>190</v>
      </c>
      <c r="K259" s="457" t="s">
        <v>635</v>
      </c>
      <c r="L259" s="380"/>
      <c r="M259" s="381"/>
    </row>
    <row r="260" spans="1:13" ht="16.5" thickBot="1">
      <c r="A260" s="393"/>
      <c r="B260" s="394"/>
      <c r="C260" s="395"/>
      <c r="D260" s="395"/>
      <c r="E260" s="395"/>
      <c r="F260" s="395"/>
      <c r="G260" s="453"/>
      <c r="H260" s="396"/>
      <c r="I260" s="396"/>
      <c r="J260" s="416">
        <v>50</v>
      </c>
      <c r="K260" s="398" t="s">
        <v>636</v>
      </c>
      <c r="L260" s="399"/>
      <c r="M260" s="400"/>
    </row>
    <row r="261" spans="1:13">
      <c r="A261" s="820" t="s">
        <v>71</v>
      </c>
      <c r="B261" s="821"/>
      <c r="C261" s="821"/>
      <c r="D261" s="821"/>
      <c r="E261" s="821"/>
      <c r="F261" s="821"/>
      <c r="G261" s="821"/>
      <c r="H261" s="821"/>
      <c r="I261" s="821"/>
      <c r="J261" s="821"/>
      <c r="K261" s="821"/>
      <c r="L261" s="821"/>
      <c r="M261" s="822"/>
    </row>
    <row r="262" spans="1:13">
      <c r="A262" s="373" t="s">
        <v>542</v>
      </c>
      <c r="B262" s="502">
        <f>C262+D262+E262</f>
        <v>51.4</v>
      </c>
      <c r="C262" s="495"/>
      <c r="D262" s="495"/>
      <c r="E262" s="495">
        <v>51.4</v>
      </c>
      <c r="F262" s="495"/>
      <c r="G262" s="382"/>
      <c r="H262" s="377"/>
      <c r="I262" s="377"/>
      <c r="J262" s="378"/>
      <c r="K262" s="379"/>
      <c r="L262" s="380"/>
      <c r="M262" s="381"/>
    </row>
    <row r="263" spans="1:13">
      <c r="A263" s="373"/>
      <c r="B263" s="415"/>
      <c r="C263" s="376"/>
      <c r="D263" s="376"/>
      <c r="E263" s="376"/>
      <c r="F263" s="376"/>
      <c r="G263" s="382"/>
      <c r="H263" s="377"/>
      <c r="I263" s="377"/>
      <c r="J263" s="383"/>
      <c r="K263" s="384"/>
      <c r="L263" s="380"/>
      <c r="M263" s="381"/>
    </row>
    <row r="264" spans="1:13" ht="31.5">
      <c r="A264" s="413" t="s">
        <v>545</v>
      </c>
      <c r="B264" s="415">
        <f t="shared" ref="B264" si="9">C264+D264+E264</f>
        <v>59.1</v>
      </c>
      <c r="C264" s="376"/>
      <c r="D264" s="376"/>
      <c r="E264" s="376">
        <v>59.1</v>
      </c>
      <c r="F264" s="376"/>
      <c r="G264" s="382"/>
      <c r="H264" s="414">
        <f>((100*E264)/E262)-100</f>
        <v>14.980544747081709</v>
      </c>
      <c r="I264" s="414">
        <f>((100*B264)/B262)-100</f>
        <v>14.980544747081709</v>
      </c>
      <c r="J264" s="383"/>
      <c r="K264" s="384"/>
      <c r="L264" s="380"/>
      <c r="M264" s="381"/>
    </row>
    <row r="265" spans="1:13">
      <c r="A265" s="820" t="s">
        <v>637</v>
      </c>
      <c r="B265" s="821"/>
      <c r="C265" s="821"/>
      <c r="D265" s="821"/>
      <c r="E265" s="821"/>
      <c r="F265" s="821"/>
      <c r="G265" s="821"/>
      <c r="H265" s="821"/>
      <c r="I265" s="821"/>
      <c r="J265" s="821"/>
      <c r="K265" s="821"/>
      <c r="L265" s="821"/>
      <c r="M265" s="822"/>
    </row>
    <row r="266" spans="1:13">
      <c r="A266" s="373" t="s">
        <v>542</v>
      </c>
      <c r="B266" s="502">
        <f>C266+D266+E266</f>
        <v>36.700000000000003</v>
      </c>
      <c r="C266" s="495"/>
      <c r="D266" s="495"/>
      <c r="E266" s="495">
        <v>36.700000000000003</v>
      </c>
      <c r="F266" s="495"/>
      <c r="G266" s="382"/>
      <c r="H266" s="377"/>
      <c r="I266" s="377"/>
      <c r="J266" s="378"/>
      <c r="K266" s="379"/>
      <c r="L266" s="380"/>
      <c r="M266" s="381"/>
    </row>
    <row r="267" spans="1:13">
      <c r="A267" s="373"/>
      <c r="B267" s="415"/>
      <c r="C267" s="376"/>
      <c r="D267" s="376"/>
      <c r="E267" s="376"/>
      <c r="F267" s="376"/>
      <c r="G267" s="382"/>
      <c r="H267" s="377"/>
      <c r="I267" s="377"/>
      <c r="J267" s="383"/>
      <c r="K267" s="384"/>
      <c r="L267" s="380"/>
      <c r="M267" s="381"/>
    </row>
    <row r="268" spans="1:13" ht="32.25" thickBot="1">
      <c r="A268" s="393" t="s">
        <v>545</v>
      </c>
      <c r="B268" s="394">
        <f t="shared" ref="B268" si="10">C268+D268+E268</f>
        <v>38.700000000000003</v>
      </c>
      <c r="C268" s="395"/>
      <c r="D268" s="395"/>
      <c r="E268" s="395">
        <v>38.700000000000003</v>
      </c>
      <c r="F268" s="395"/>
      <c r="G268" s="453"/>
      <c r="H268" s="419">
        <f>((100*B268)/B266)-100</f>
        <v>5.4495912806539621</v>
      </c>
      <c r="I268" s="419">
        <f>((100*B268)/B266)-100</f>
        <v>5.4495912806539621</v>
      </c>
      <c r="J268" s="397"/>
      <c r="K268" s="417"/>
      <c r="L268" s="399"/>
      <c r="M268" s="400"/>
    </row>
    <row r="269" spans="1:13">
      <c r="A269" s="820" t="s">
        <v>638</v>
      </c>
      <c r="B269" s="821"/>
      <c r="C269" s="821"/>
      <c r="D269" s="821"/>
      <c r="E269" s="821"/>
      <c r="F269" s="821"/>
      <c r="G269" s="821"/>
      <c r="H269" s="821"/>
      <c r="I269" s="821"/>
      <c r="J269" s="821"/>
      <c r="K269" s="821"/>
      <c r="L269" s="821"/>
      <c r="M269" s="822"/>
    </row>
    <row r="270" spans="1:13">
      <c r="A270" s="373" t="s">
        <v>542</v>
      </c>
      <c r="B270" s="493">
        <f>C270+D270+E270</f>
        <v>1785.8000000000002</v>
      </c>
      <c r="C270" s="494">
        <v>1598.7</v>
      </c>
      <c r="D270" s="494">
        <v>23.2</v>
      </c>
      <c r="E270" s="494">
        <v>163.9</v>
      </c>
      <c r="F270" s="494"/>
      <c r="G270" s="382"/>
      <c r="H270" s="377"/>
      <c r="I270" s="377"/>
      <c r="J270" s="378"/>
      <c r="K270" s="379"/>
      <c r="L270" s="380"/>
      <c r="M270" s="381"/>
    </row>
    <row r="271" spans="1:13">
      <c r="A271" s="373"/>
      <c r="B271" s="374"/>
      <c r="C271" s="375"/>
      <c r="D271" s="375"/>
      <c r="E271" s="375"/>
      <c r="F271" s="375"/>
      <c r="G271" s="382"/>
      <c r="H271" s="377"/>
      <c r="I271" s="377"/>
      <c r="J271" s="383"/>
      <c r="K271" s="384"/>
      <c r="L271" s="380"/>
      <c r="M271" s="381"/>
    </row>
    <row r="272" spans="1:13" ht="31.5">
      <c r="A272" s="413" t="s">
        <v>545</v>
      </c>
      <c r="B272" s="374">
        <f>C272+D272+E272+F272</f>
        <v>2169.7000000000003</v>
      </c>
      <c r="C272" s="375">
        <v>1924</v>
      </c>
      <c r="D272" s="375">
        <v>27.9</v>
      </c>
      <c r="E272" s="375">
        <v>214</v>
      </c>
      <c r="F272" s="375">
        <v>3.8</v>
      </c>
      <c r="G272" s="414">
        <f>C272/C270*100-100</f>
        <v>20.347782573340851</v>
      </c>
      <c r="H272" s="414">
        <f>((100*E272)/E270)-100</f>
        <v>30.567419158023171</v>
      </c>
      <c r="I272" s="414">
        <f>((100*B272)/B270)-100</f>
        <v>21.497368126329945</v>
      </c>
      <c r="J272" s="378">
        <v>110</v>
      </c>
      <c r="K272" s="384" t="s">
        <v>639</v>
      </c>
      <c r="L272" s="380"/>
      <c r="M272" s="381"/>
    </row>
    <row r="273" spans="1:13">
      <c r="A273" s="820" t="s">
        <v>640</v>
      </c>
      <c r="B273" s="821"/>
      <c r="C273" s="821"/>
      <c r="D273" s="821"/>
      <c r="E273" s="821"/>
      <c r="F273" s="821"/>
      <c r="G273" s="821"/>
      <c r="H273" s="821"/>
      <c r="I273" s="821"/>
      <c r="J273" s="821"/>
      <c r="K273" s="821"/>
      <c r="L273" s="821"/>
      <c r="M273" s="822"/>
    </row>
    <row r="274" spans="1:13">
      <c r="A274" s="373" t="s">
        <v>542</v>
      </c>
      <c r="B274" s="502">
        <f>C274+D274+E274</f>
        <v>41.300000000000004</v>
      </c>
      <c r="C274" s="510">
        <v>40.700000000000003</v>
      </c>
      <c r="D274" s="510">
        <v>0.6</v>
      </c>
      <c r="E274" s="376">
        <v>0</v>
      </c>
      <c r="F274" s="376"/>
      <c r="G274" s="382"/>
      <c r="H274" s="377"/>
      <c r="I274" s="377"/>
      <c r="J274" s="378"/>
      <c r="K274" s="379"/>
      <c r="L274" s="380"/>
      <c r="M274" s="381"/>
    </row>
    <row r="275" spans="1:13">
      <c r="A275" s="373"/>
      <c r="B275" s="415"/>
      <c r="C275" s="376"/>
      <c r="D275" s="376"/>
      <c r="E275" s="376"/>
      <c r="F275" s="376"/>
      <c r="G275" s="382"/>
      <c r="H275" s="377"/>
      <c r="I275" s="377"/>
      <c r="J275" s="383"/>
      <c r="K275" s="384"/>
      <c r="L275" s="380"/>
      <c r="M275" s="381"/>
    </row>
    <row r="276" spans="1:13" ht="32.25" thickBot="1">
      <c r="A276" s="393" t="s">
        <v>545</v>
      </c>
      <c r="B276" s="394">
        <f>C276+D276+E276+F276</f>
        <v>12.2</v>
      </c>
      <c r="C276" s="395">
        <v>12</v>
      </c>
      <c r="D276" s="395">
        <v>0.2</v>
      </c>
      <c r="E276" s="395"/>
      <c r="F276" s="395"/>
      <c r="G276" s="419">
        <f>C276/C274*100-100</f>
        <v>-70.515970515970508</v>
      </c>
      <c r="H276" s="419"/>
      <c r="I276" s="419">
        <f>((100*B276)/B274)-100</f>
        <v>-70.460048426150124</v>
      </c>
      <c r="J276" s="397"/>
      <c r="K276" s="417" t="s">
        <v>641</v>
      </c>
      <c r="L276" s="399"/>
      <c r="M276" s="400"/>
    </row>
    <row r="277" spans="1:13">
      <c r="A277" s="820" t="s">
        <v>642</v>
      </c>
      <c r="B277" s="821"/>
      <c r="C277" s="821"/>
      <c r="D277" s="821"/>
      <c r="E277" s="821"/>
      <c r="F277" s="821"/>
      <c r="G277" s="821"/>
      <c r="H277" s="821"/>
      <c r="I277" s="821"/>
      <c r="J277" s="821"/>
      <c r="K277" s="821"/>
      <c r="L277" s="821"/>
      <c r="M277" s="822"/>
    </row>
    <row r="278" spans="1:13">
      <c r="A278" s="373" t="s">
        <v>542</v>
      </c>
      <c r="B278" s="502">
        <f>C278+D278+E278</f>
        <v>343.40000000000003</v>
      </c>
      <c r="C278" s="495">
        <v>296.5</v>
      </c>
      <c r="D278" s="495">
        <v>4.3</v>
      </c>
      <c r="E278" s="495">
        <v>42.6</v>
      </c>
      <c r="F278" s="495"/>
      <c r="G278" s="382"/>
      <c r="H278" s="377"/>
      <c r="I278" s="377"/>
      <c r="J278" s="378">
        <v>10</v>
      </c>
      <c r="K278" s="379" t="s">
        <v>549</v>
      </c>
      <c r="L278" s="380"/>
      <c r="M278" s="381"/>
    </row>
    <row r="279" spans="1:13">
      <c r="A279" s="373"/>
      <c r="B279" s="415"/>
      <c r="C279" s="376"/>
      <c r="D279" s="376"/>
      <c r="E279" s="376"/>
      <c r="F279" s="376"/>
      <c r="G279" s="382"/>
      <c r="H279" s="377"/>
      <c r="I279" s="377"/>
      <c r="J279" s="383"/>
      <c r="K279" s="384"/>
      <c r="L279" s="380"/>
      <c r="M279" s="381"/>
    </row>
    <row r="280" spans="1:13" ht="30" customHeight="1">
      <c r="A280" s="413" t="s">
        <v>545</v>
      </c>
      <c r="B280" s="415">
        <f>C280+D280+E280+F280</f>
        <v>406.6</v>
      </c>
      <c r="C280" s="376">
        <v>351.3</v>
      </c>
      <c r="D280" s="376">
        <v>5.0999999999999996</v>
      </c>
      <c r="E280" s="376">
        <v>48.2</v>
      </c>
      <c r="F280" s="376">
        <v>2</v>
      </c>
      <c r="G280" s="414">
        <f>C280/C278*100-100</f>
        <v>18.4822934232715</v>
      </c>
      <c r="H280" s="414">
        <f>((100*E280)/E278)-100</f>
        <v>13.145539906103281</v>
      </c>
      <c r="I280" s="414">
        <f>((100*B280)/B278)-100</f>
        <v>18.404193360512508</v>
      </c>
      <c r="J280" s="383">
        <v>23.7</v>
      </c>
      <c r="K280" s="511" t="s">
        <v>643</v>
      </c>
      <c r="L280" s="380"/>
      <c r="M280" s="381"/>
    </row>
    <row r="281" spans="1:13" ht="31.5" customHeight="1" thickBot="1">
      <c r="A281" s="393"/>
      <c r="B281" s="394"/>
      <c r="C281" s="395"/>
      <c r="D281" s="395"/>
      <c r="E281" s="395"/>
      <c r="F281" s="395"/>
      <c r="G281" s="396"/>
      <c r="H281" s="396"/>
      <c r="I281" s="396"/>
      <c r="J281" s="397"/>
      <c r="K281" s="398" t="s">
        <v>644</v>
      </c>
      <c r="L281" s="399"/>
      <c r="M281" s="400"/>
    </row>
    <row r="282" spans="1:13">
      <c r="A282" s="820" t="s">
        <v>645</v>
      </c>
      <c r="B282" s="821"/>
      <c r="C282" s="821"/>
      <c r="D282" s="821"/>
      <c r="E282" s="821"/>
      <c r="F282" s="821"/>
      <c r="G282" s="821"/>
      <c r="H282" s="821"/>
      <c r="I282" s="821"/>
      <c r="J282" s="821"/>
      <c r="K282" s="821"/>
      <c r="L282" s="821"/>
      <c r="M282" s="822"/>
    </row>
    <row r="283" spans="1:13">
      <c r="A283" s="373" t="s">
        <v>542</v>
      </c>
      <c r="B283" s="502">
        <f>C283+D283+E283</f>
        <v>156.79999999999998</v>
      </c>
      <c r="C283" s="510">
        <v>154.6</v>
      </c>
      <c r="D283" s="510">
        <v>2.2000000000000002</v>
      </c>
      <c r="E283" s="376"/>
      <c r="F283" s="376"/>
      <c r="G283" s="382"/>
      <c r="H283" s="377"/>
      <c r="I283" s="377"/>
      <c r="J283" s="378"/>
      <c r="K283" s="379"/>
      <c r="L283" s="380"/>
      <c r="M283" s="381"/>
    </row>
    <row r="284" spans="1:13">
      <c r="A284" s="373"/>
      <c r="B284" s="415"/>
      <c r="C284" s="376"/>
      <c r="D284" s="376"/>
      <c r="E284" s="376"/>
      <c r="F284" s="376"/>
      <c r="G284" s="382"/>
      <c r="H284" s="377"/>
      <c r="I284" s="377"/>
      <c r="J284" s="383"/>
      <c r="K284" s="384"/>
      <c r="L284" s="380"/>
      <c r="M284" s="381"/>
    </row>
    <row r="285" spans="1:13" ht="32.25" thickBot="1">
      <c r="A285" s="393" t="s">
        <v>545</v>
      </c>
      <c r="B285" s="394">
        <f>C285+D285+E285+F285</f>
        <v>169</v>
      </c>
      <c r="C285" s="395">
        <v>166.6</v>
      </c>
      <c r="D285" s="395">
        <v>2.4</v>
      </c>
      <c r="E285" s="395"/>
      <c r="F285" s="395"/>
      <c r="G285" s="419">
        <f>C285/C283*100-100</f>
        <v>7.7619663648124089</v>
      </c>
      <c r="H285" s="419"/>
      <c r="I285" s="419">
        <f>((100*B285)/B283)-100</f>
        <v>7.7806122448979664</v>
      </c>
      <c r="J285" s="397"/>
      <c r="K285" s="417"/>
      <c r="L285" s="399"/>
      <c r="M285" s="400"/>
    </row>
    <row r="286" spans="1:13">
      <c r="A286" s="820" t="s">
        <v>646</v>
      </c>
      <c r="B286" s="821"/>
      <c r="C286" s="821"/>
      <c r="D286" s="821"/>
      <c r="E286" s="821"/>
      <c r="F286" s="821"/>
      <c r="G286" s="821"/>
      <c r="H286" s="821"/>
      <c r="I286" s="821"/>
      <c r="J286" s="821"/>
      <c r="K286" s="821"/>
      <c r="L286" s="821"/>
      <c r="M286" s="822"/>
    </row>
    <row r="287" spans="1:13">
      <c r="A287" s="373" t="s">
        <v>542</v>
      </c>
      <c r="B287" s="502">
        <f>C287+D287+E287</f>
        <v>1658.2</v>
      </c>
      <c r="C287" s="376"/>
      <c r="D287" s="376"/>
      <c r="E287" s="376">
        <v>1658.2</v>
      </c>
      <c r="F287" s="376"/>
      <c r="G287" s="382"/>
      <c r="H287" s="377"/>
      <c r="I287" s="377"/>
      <c r="J287" s="378"/>
      <c r="K287" s="379"/>
      <c r="L287" s="380"/>
      <c r="M287" s="381"/>
    </row>
    <row r="288" spans="1:13">
      <c r="A288" s="373"/>
      <c r="B288" s="415"/>
      <c r="C288" s="376"/>
      <c r="D288" s="376"/>
      <c r="E288" s="376"/>
      <c r="F288" s="376"/>
      <c r="G288" s="382"/>
      <c r="H288" s="377"/>
      <c r="I288" s="377"/>
      <c r="J288" s="383"/>
      <c r="K288" s="384"/>
      <c r="L288" s="380"/>
      <c r="M288" s="381"/>
    </row>
    <row r="289" spans="1:13" ht="32.25" thickBot="1">
      <c r="A289" s="393" t="s">
        <v>545</v>
      </c>
      <c r="B289" s="394">
        <f>C289+D289+E289+F289</f>
        <v>2020</v>
      </c>
      <c r="C289" s="395"/>
      <c r="D289" s="395"/>
      <c r="E289" s="397">
        <v>2020</v>
      </c>
      <c r="F289" s="395"/>
      <c r="G289" s="396"/>
      <c r="H289" s="419">
        <f>((100*E289)/E287)-100</f>
        <v>21.818839705704974</v>
      </c>
      <c r="I289" s="419">
        <f>((100*B289)/B287)-100</f>
        <v>21.818839705704974</v>
      </c>
      <c r="J289" s="397"/>
      <c r="K289" s="417"/>
      <c r="L289" s="399"/>
      <c r="M289" s="400"/>
    </row>
    <row r="290" spans="1:13">
      <c r="A290" s="820" t="s">
        <v>647</v>
      </c>
      <c r="B290" s="821"/>
      <c r="C290" s="821"/>
      <c r="D290" s="821"/>
      <c r="E290" s="821"/>
      <c r="F290" s="821"/>
      <c r="G290" s="821"/>
      <c r="H290" s="821"/>
      <c r="I290" s="821"/>
      <c r="J290" s="821"/>
      <c r="K290" s="821"/>
      <c r="L290" s="821"/>
      <c r="M290" s="822"/>
    </row>
    <row r="291" spans="1:13">
      <c r="A291" s="373" t="s">
        <v>542</v>
      </c>
      <c r="B291" s="502">
        <f>C291+D291+E291</f>
        <v>187.5</v>
      </c>
      <c r="C291" s="376"/>
      <c r="D291" s="376"/>
      <c r="E291" s="376">
        <v>187.5</v>
      </c>
      <c r="F291" s="376"/>
      <c r="G291" s="382"/>
      <c r="H291" s="377"/>
      <c r="I291" s="377"/>
      <c r="J291" s="378"/>
      <c r="K291" s="379"/>
      <c r="L291" s="380"/>
      <c r="M291" s="381"/>
    </row>
    <row r="292" spans="1:13">
      <c r="A292" s="373"/>
      <c r="B292" s="415"/>
      <c r="C292" s="376"/>
      <c r="D292" s="376"/>
      <c r="E292" s="376"/>
      <c r="F292" s="376"/>
      <c r="G292" s="382"/>
      <c r="H292" s="377"/>
      <c r="I292" s="377"/>
      <c r="J292" s="383"/>
      <c r="K292" s="384"/>
      <c r="L292" s="380"/>
      <c r="M292" s="381"/>
    </row>
    <row r="293" spans="1:13" ht="32.25" thickBot="1">
      <c r="A293" s="393" t="s">
        <v>545</v>
      </c>
      <c r="B293" s="451">
        <f>C293+D293+E293+F293</f>
        <v>202</v>
      </c>
      <c r="C293" s="418"/>
      <c r="D293" s="418"/>
      <c r="E293" s="418">
        <v>202</v>
      </c>
      <c r="F293" s="395"/>
      <c r="G293" s="396"/>
      <c r="H293" s="419">
        <f>((100*E293)/E291)-100</f>
        <v>7.7333333333333343</v>
      </c>
      <c r="I293" s="419">
        <f>((100*B293)/B291)-100</f>
        <v>7.7333333333333343</v>
      </c>
      <c r="J293" s="397"/>
      <c r="K293" s="417"/>
      <c r="L293" s="399"/>
      <c r="M293" s="400"/>
    </row>
    <row r="294" spans="1:13">
      <c r="A294" s="820" t="s">
        <v>648</v>
      </c>
      <c r="B294" s="821"/>
      <c r="C294" s="821"/>
      <c r="D294" s="821"/>
      <c r="E294" s="821"/>
      <c r="F294" s="821"/>
      <c r="G294" s="821"/>
      <c r="H294" s="821"/>
      <c r="I294" s="821"/>
      <c r="J294" s="821"/>
      <c r="K294" s="821"/>
      <c r="L294" s="821"/>
      <c r="M294" s="822"/>
    </row>
    <row r="295" spans="1:13">
      <c r="A295" s="373" t="s">
        <v>542</v>
      </c>
      <c r="B295" s="502">
        <f>C295+D295+E295</f>
        <v>39.200000000000003</v>
      </c>
      <c r="C295" s="376">
        <v>35.700000000000003</v>
      </c>
      <c r="D295" s="376">
        <v>0.5</v>
      </c>
      <c r="E295" s="376">
        <v>3</v>
      </c>
      <c r="F295" s="376"/>
      <c r="G295" s="382"/>
      <c r="H295" s="377"/>
      <c r="I295" s="377"/>
      <c r="J295" s="378"/>
      <c r="K295" s="379"/>
      <c r="L295" s="380"/>
      <c r="M295" s="381"/>
    </row>
    <row r="296" spans="1:13">
      <c r="A296" s="373"/>
      <c r="B296" s="415"/>
      <c r="C296" s="376"/>
      <c r="D296" s="376"/>
      <c r="E296" s="376"/>
      <c r="F296" s="376"/>
      <c r="G296" s="382"/>
      <c r="H296" s="377"/>
      <c r="I296" s="377"/>
      <c r="J296" s="383"/>
      <c r="K296" s="384"/>
      <c r="L296" s="380"/>
      <c r="M296" s="381"/>
    </row>
    <row r="297" spans="1:13" ht="32.25" thickBot="1">
      <c r="A297" s="393" t="s">
        <v>545</v>
      </c>
      <c r="B297" s="394">
        <f>C297+D297+E297+F297</f>
        <v>40.6</v>
      </c>
      <c r="C297" s="395">
        <v>37.1</v>
      </c>
      <c r="D297" s="395">
        <v>0.5</v>
      </c>
      <c r="E297" s="395">
        <v>3</v>
      </c>
      <c r="F297" s="395"/>
      <c r="G297" s="419">
        <f>C297/C295*100-100</f>
        <v>3.9215686274509665</v>
      </c>
      <c r="H297" s="419">
        <f>((100*E297)/E295)-100</f>
        <v>0</v>
      </c>
      <c r="I297" s="419">
        <f>((100*B297)/B295)-100</f>
        <v>3.5714285714285694</v>
      </c>
      <c r="J297" s="397"/>
      <c r="K297" s="417"/>
      <c r="L297" s="399"/>
      <c r="M297" s="400"/>
    </row>
    <row r="298" spans="1:13">
      <c r="A298" s="820" t="s">
        <v>90</v>
      </c>
      <c r="B298" s="821"/>
      <c r="C298" s="821"/>
      <c r="D298" s="821"/>
      <c r="E298" s="821"/>
      <c r="F298" s="821"/>
      <c r="G298" s="821"/>
      <c r="H298" s="821"/>
      <c r="I298" s="821"/>
      <c r="J298" s="821"/>
      <c r="K298" s="821"/>
      <c r="L298" s="821"/>
      <c r="M298" s="822"/>
    </row>
    <row r="299" spans="1:13">
      <c r="A299" s="373" t="s">
        <v>542</v>
      </c>
      <c r="B299" s="493">
        <f>C299+D299+E299</f>
        <v>50</v>
      </c>
      <c r="C299" s="375"/>
      <c r="D299" s="375"/>
      <c r="E299" s="375">
        <v>50</v>
      </c>
      <c r="F299" s="376"/>
      <c r="G299" s="382"/>
      <c r="H299" s="377"/>
      <c r="I299" s="377"/>
      <c r="J299" s="378"/>
      <c r="K299" s="379"/>
      <c r="L299" s="380"/>
      <c r="M299" s="381"/>
    </row>
    <row r="300" spans="1:13">
      <c r="A300" s="373"/>
      <c r="B300" s="374"/>
      <c r="C300" s="375"/>
      <c r="D300" s="375"/>
      <c r="E300" s="375"/>
      <c r="F300" s="376"/>
      <c r="G300" s="382"/>
      <c r="H300" s="377"/>
      <c r="I300" s="377"/>
      <c r="J300" s="383"/>
      <c r="K300" s="384"/>
      <c r="L300" s="380"/>
      <c r="M300" s="381"/>
    </row>
    <row r="301" spans="1:13" ht="32.25" thickBot="1">
      <c r="A301" s="393" t="s">
        <v>545</v>
      </c>
      <c r="B301" s="451">
        <f>C301+D301+E301+F301</f>
        <v>10</v>
      </c>
      <c r="C301" s="418"/>
      <c r="D301" s="418"/>
      <c r="E301" s="418">
        <v>10</v>
      </c>
      <c r="F301" s="395"/>
      <c r="G301" s="396"/>
      <c r="H301" s="419">
        <f>((100*E301)/E299)-100</f>
        <v>-80</v>
      </c>
      <c r="I301" s="419">
        <f>((100*B301)/B299)-100</f>
        <v>-80</v>
      </c>
      <c r="J301" s="397"/>
      <c r="K301" s="417"/>
      <c r="L301" s="399"/>
      <c r="M301" s="400"/>
    </row>
    <row r="302" spans="1:13">
      <c r="A302" s="820" t="s">
        <v>649</v>
      </c>
      <c r="B302" s="821"/>
      <c r="C302" s="821"/>
      <c r="D302" s="821"/>
      <c r="E302" s="821"/>
      <c r="F302" s="821"/>
      <c r="G302" s="821"/>
      <c r="H302" s="821"/>
      <c r="I302" s="821"/>
      <c r="J302" s="821"/>
      <c r="K302" s="821"/>
      <c r="L302" s="821"/>
      <c r="M302" s="822"/>
    </row>
    <row r="303" spans="1:13">
      <c r="A303" s="373" t="s">
        <v>542</v>
      </c>
      <c r="B303" s="502">
        <f>C303+D303+E303</f>
        <v>166.1</v>
      </c>
      <c r="C303" s="376"/>
      <c r="D303" s="376"/>
      <c r="E303" s="376">
        <v>166.1</v>
      </c>
      <c r="F303" s="376"/>
      <c r="G303" s="382"/>
      <c r="H303" s="377"/>
      <c r="I303" s="377"/>
      <c r="J303" s="378"/>
      <c r="K303" s="379"/>
      <c r="L303" s="380"/>
      <c r="M303" s="381"/>
    </row>
    <row r="304" spans="1:13">
      <c r="A304" s="373"/>
      <c r="B304" s="415"/>
      <c r="C304" s="376"/>
      <c r="D304" s="376"/>
      <c r="E304" s="376"/>
      <c r="F304" s="376"/>
      <c r="G304" s="382"/>
      <c r="H304" s="377"/>
      <c r="I304" s="377"/>
      <c r="J304" s="383"/>
      <c r="K304" s="384"/>
      <c r="L304" s="380"/>
      <c r="M304" s="381"/>
    </row>
    <row r="305" spans="1:13" ht="32.25" thickBot="1">
      <c r="A305" s="393" t="s">
        <v>545</v>
      </c>
      <c r="B305" s="394">
        <f>C305+D305+E305+F305</f>
        <v>167.5</v>
      </c>
      <c r="C305" s="395"/>
      <c r="D305" s="395"/>
      <c r="E305" s="395">
        <v>167.5</v>
      </c>
      <c r="F305" s="395"/>
      <c r="G305" s="396"/>
      <c r="H305" s="419">
        <f>((100*E305)/E303)-100</f>
        <v>0.84286574352799448</v>
      </c>
      <c r="I305" s="419">
        <f>((100*B305)/B303)-100</f>
        <v>0.84286574352799448</v>
      </c>
      <c r="J305" s="397">
        <v>1.1000000000000001</v>
      </c>
      <c r="K305" s="417" t="s">
        <v>650</v>
      </c>
      <c r="L305" s="399"/>
      <c r="M305" s="400"/>
    </row>
    <row r="306" spans="1:13">
      <c r="A306" s="820" t="s">
        <v>651</v>
      </c>
      <c r="B306" s="821"/>
      <c r="C306" s="821"/>
      <c r="D306" s="821"/>
      <c r="E306" s="821"/>
      <c r="F306" s="821"/>
      <c r="G306" s="821"/>
      <c r="H306" s="821"/>
      <c r="I306" s="821"/>
      <c r="J306" s="821"/>
      <c r="K306" s="821"/>
      <c r="L306" s="821"/>
      <c r="M306" s="822"/>
    </row>
    <row r="307" spans="1:13">
      <c r="A307" s="373" t="s">
        <v>542</v>
      </c>
      <c r="B307" s="502">
        <f>C307+D307+E307</f>
        <v>165.2</v>
      </c>
      <c r="C307" s="376"/>
      <c r="D307" s="376"/>
      <c r="E307" s="376">
        <v>165.2</v>
      </c>
      <c r="F307" s="376"/>
      <c r="G307" s="382"/>
      <c r="H307" s="377"/>
      <c r="I307" s="377"/>
      <c r="J307" s="378"/>
      <c r="K307" s="379"/>
      <c r="L307" s="380"/>
      <c r="M307" s="381"/>
    </row>
    <row r="308" spans="1:13">
      <c r="A308" s="373"/>
      <c r="B308" s="415"/>
      <c r="C308" s="376"/>
      <c r="D308" s="376"/>
      <c r="E308" s="376"/>
      <c r="F308" s="376"/>
      <c r="G308" s="382"/>
      <c r="H308" s="377"/>
      <c r="I308" s="377"/>
      <c r="J308" s="383"/>
      <c r="K308" s="384"/>
      <c r="L308" s="380"/>
      <c r="M308" s="381"/>
    </row>
    <row r="309" spans="1:13" ht="32.25" thickBot="1">
      <c r="A309" s="393" t="s">
        <v>545</v>
      </c>
      <c r="B309" s="394">
        <f>C309+D309+E309+F309</f>
        <v>165.24799999999999</v>
      </c>
      <c r="C309" s="395"/>
      <c r="D309" s="395"/>
      <c r="E309" s="395">
        <v>165.24799999999999</v>
      </c>
      <c r="F309" s="395"/>
      <c r="G309" s="396"/>
      <c r="H309" s="396">
        <f>((100*E309)/E307)-100</f>
        <v>2.905569007263864E-2</v>
      </c>
      <c r="I309" s="396">
        <f>((100*B309)/B307)-100</f>
        <v>2.905569007263864E-2</v>
      </c>
      <c r="J309" s="397"/>
      <c r="K309" s="417" t="s">
        <v>652</v>
      </c>
      <c r="L309" s="399"/>
      <c r="M309" s="400"/>
    </row>
    <row r="310" spans="1:13">
      <c r="A310" s="820" t="s">
        <v>653</v>
      </c>
      <c r="B310" s="821"/>
      <c r="C310" s="821"/>
      <c r="D310" s="821"/>
      <c r="E310" s="821"/>
      <c r="F310" s="821"/>
      <c r="G310" s="821"/>
      <c r="H310" s="821"/>
      <c r="I310" s="821"/>
      <c r="J310" s="821"/>
      <c r="K310" s="821"/>
      <c r="L310" s="821"/>
      <c r="M310" s="822"/>
    </row>
    <row r="311" spans="1:13">
      <c r="A311" s="373" t="s">
        <v>542</v>
      </c>
      <c r="B311" s="493">
        <f>C311+D311+E311</f>
        <v>87</v>
      </c>
      <c r="C311" s="375"/>
      <c r="D311" s="375"/>
      <c r="E311" s="375">
        <v>87</v>
      </c>
      <c r="F311" s="376"/>
      <c r="G311" s="382"/>
      <c r="H311" s="377"/>
      <c r="I311" s="377"/>
      <c r="J311" s="378"/>
      <c r="K311" s="379"/>
      <c r="L311" s="380"/>
      <c r="M311" s="381"/>
    </row>
    <row r="312" spans="1:13">
      <c r="A312" s="373"/>
      <c r="B312" s="374"/>
      <c r="C312" s="375"/>
      <c r="D312" s="375"/>
      <c r="E312" s="375"/>
      <c r="F312" s="376"/>
      <c r="G312" s="382"/>
      <c r="H312" s="377"/>
      <c r="I312" s="377"/>
      <c r="J312" s="383"/>
      <c r="K312" s="384"/>
      <c r="L312" s="380"/>
      <c r="M312" s="381"/>
    </row>
    <row r="313" spans="1:13" ht="32.25" thickBot="1">
      <c r="A313" s="393" t="s">
        <v>545</v>
      </c>
      <c r="B313" s="451">
        <f>C313+D313+E313+F313</f>
        <v>50</v>
      </c>
      <c r="C313" s="418"/>
      <c r="D313" s="418"/>
      <c r="E313" s="418">
        <v>50</v>
      </c>
      <c r="F313" s="395"/>
      <c r="G313" s="396"/>
      <c r="H313" s="419">
        <f>((100*E313)/E311)-100</f>
        <v>-42.52873563218391</v>
      </c>
      <c r="I313" s="419">
        <f>((100*B313)/B311)-100</f>
        <v>-42.52873563218391</v>
      </c>
      <c r="J313" s="397"/>
      <c r="K313" s="417"/>
      <c r="L313" s="399"/>
      <c r="M313" s="400"/>
    </row>
    <row r="314" spans="1:13">
      <c r="A314" s="820" t="s">
        <v>654</v>
      </c>
      <c r="B314" s="821"/>
      <c r="C314" s="821"/>
      <c r="D314" s="821"/>
      <c r="E314" s="821"/>
      <c r="F314" s="821"/>
      <c r="G314" s="821"/>
      <c r="H314" s="821"/>
      <c r="I314" s="821"/>
      <c r="J314" s="821"/>
      <c r="K314" s="821"/>
      <c r="L314" s="821"/>
      <c r="M314" s="822"/>
    </row>
    <row r="315" spans="1:13">
      <c r="A315" s="373" t="s">
        <v>542</v>
      </c>
      <c r="B315" s="493">
        <f>C315+D315+E315</f>
        <v>735</v>
      </c>
      <c r="C315" s="375"/>
      <c r="D315" s="375"/>
      <c r="E315" s="375">
        <v>735</v>
      </c>
      <c r="F315" s="376"/>
      <c r="G315" s="382"/>
      <c r="H315" s="377"/>
      <c r="I315" s="377"/>
      <c r="J315" s="378">
        <v>735</v>
      </c>
      <c r="K315" s="379" t="s">
        <v>655</v>
      </c>
      <c r="L315" s="380"/>
      <c r="M315" s="381"/>
    </row>
    <row r="316" spans="1:13">
      <c r="A316" s="373"/>
      <c r="B316" s="415"/>
      <c r="C316" s="376"/>
      <c r="D316" s="376"/>
      <c r="E316" s="376"/>
      <c r="F316" s="376"/>
      <c r="G316" s="382"/>
      <c r="H316" s="377"/>
      <c r="I316" s="377"/>
      <c r="J316" s="383"/>
      <c r="K316" s="384"/>
      <c r="L316" s="380"/>
      <c r="M316" s="381"/>
    </row>
    <row r="317" spans="1:13" ht="32.25" thickBot="1">
      <c r="A317" s="393" t="s">
        <v>545</v>
      </c>
      <c r="B317" s="394">
        <f>C317+D317+E317+F317</f>
        <v>0</v>
      </c>
      <c r="C317" s="395"/>
      <c r="D317" s="395"/>
      <c r="E317" s="395">
        <v>0</v>
      </c>
      <c r="F317" s="395"/>
      <c r="G317" s="396"/>
      <c r="H317" s="419">
        <f>((100*E317)/E315)-100</f>
        <v>-100</v>
      </c>
      <c r="I317" s="419">
        <f>((100*B317)/B315)-100</f>
        <v>-100</v>
      </c>
      <c r="J317" s="397"/>
      <c r="K317" s="417"/>
      <c r="L317" s="399"/>
      <c r="M317" s="400"/>
    </row>
    <row r="318" spans="1:13">
      <c r="A318" s="820" t="s">
        <v>656</v>
      </c>
      <c r="B318" s="821"/>
      <c r="C318" s="821"/>
      <c r="D318" s="821"/>
      <c r="E318" s="821"/>
      <c r="F318" s="821"/>
      <c r="G318" s="821"/>
      <c r="H318" s="821"/>
      <c r="I318" s="821"/>
      <c r="J318" s="821"/>
      <c r="K318" s="821"/>
      <c r="L318" s="821"/>
      <c r="M318" s="822"/>
    </row>
    <row r="319" spans="1:13">
      <c r="A319" s="373" t="s">
        <v>542</v>
      </c>
      <c r="B319" s="374">
        <f>C319+D319+E319</f>
        <v>18</v>
      </c>
      <c r="C319" s="375"/>
      <c r="D319" s="375"/>
      <c r="E319" s="375">
        <v>18</v>
      </c>
      <c r="F319" s="376"/>
      <c r="G319" s="382"/>
      <c r="H319" s="377"/>
      <c r="I319" s="377"/>
      <c r="J319" s="378"/>
      <c r="K319" s="379"/>
      <c r="L319" s="380"/>
      <c r="M319" s="381"/>
    </row>
    <row r="320" spans="1:13">
      <c r="A320" s="373"/>
      <c r="B320" s="374"/>
      <c r="C320" s="375"/>
      <c r="D320" s="375"/>
      <c r="E320" s="375"/>
      <c r="F320" s="376"/>
      <c r="G320" s="382"/>
      <c r="H320" s="377"/>
      <c r="I320" s="377"/>
      <c r="J320" s="383"/>
      <c r="K320" s="384"/>
      <c r="L320" s="380"/>
      <c r="M320" s="381"/>
    </row>
    <row r="321" spans="1:13" ht="31.5">
      <c r="A321" s="413" t="s">
        <v>545</v>
      </c>
      <c r="B321" s="374">
        <f>C321+D321+E321+F321</f>
        <v>80</v>
      </c>
      <c r="C321" s="375"/>
      <c r="D321" s="375"/>
      <c r="E321" s="375">
        <v>80</v>
      </c>
      <c r="F321" s="376"/>
      <c r="G321" s="377"/>
      <c r="H321" s="414">
        <f>((100*E321)/E319)-100</f>
        <v>344.44444444444446</v>
      </c>
      <c r="I321" s="414">
        <f>((100*B321)/B319)-100</f>
        <v>344.44444444444446</v>
      </c>
      <c r="J321" s="378">
        <v>20</v>
      </c>
      <c r="K321" s="384" t="s">
        <v>657</v>
      </c>
      <c r="L321" s="380"/>
      <c r="M321" s="381"/>
    </row>
    <row r="322" spans="1:13" ht="16.5" thickBot="1">
      <c r="A322" s="393"/>
      <c r="B322" s="394"/>
      <c r="C322" s="395"/>
      <c r="D322" s="395"/>
      <c r="E322" s="395"/>
      <c r="F322" s="395"/>
      <c r="G322" s="453"/>
      <c r="H322" s="396"/>
      <c r="I322" s="396"/>
      <c r="J322" s="416">
        <v>60</v>
      </c>
      <c r="K322" s="417" t="s">
        <v>658</v>
      </c>
      <c r="L322" s="399"/>
      <c r="M322" s="400"/>
    </row>
    <row r="323" spans="1:13">
      <c r="A323" s="820" t="s">
        <v>659</v>
      </c>
      <c r="B323" s="821"/>
      <c r="C323" s="821"/>
      <c r="D323" s="821"/>
      <c r="E323" s="821"/>
      <c r="F323" s="821"/>
      <c r="G323" s="821"/>
      <c r="H323" s="821"/>
      <c r="I323" s="821"/>
      <c r="J323" s="821"/>
      <c r="K323" s="821"/>
      <c r="L323" s="821"/>
      <c r="M323" s="822"/>
    </row>
    <row r="324" spans="1:13">
      <c r="A324" s="373" t="s">
        <v>542</v>
      </c>
      <c r="B324" s="512">
        <f>C324+D324+E324</f>
        <v>7</v>
      </c>
      <c r="C324" s="513"/>
      <c r="D324" s="513"/>
      <c r="E324" s="513">
        <v>7</v>
      </c>
      <c r="F324" s="376"/>
      <c r="G324" s="382"/>
      <c r="H324" s="377"/>
      <c r="I324" s="377"/>
      <c r="J324" s="378"/>
      <c r="K324" s="379"/>
      <c r="L324" s="380"/>
      <c r="M324" s="381"/>
    </row>
    <row r="325" spans="1:13">
      <c r="A325" s="373"/>
      <c r="B325" s="512"/>
      <c r="C325" s="513"/>
      <c r="D325" s="513"/>
      <c r="E325" s="513"/>
      <c r="F325" s="376"/>
      <c r="G325" s="377"/>
      <c r="H325" s="377"/>
      <c r="I325" s="377"/>
      <c r="J325" s="383"/>
      <c r="K325" s="384"/>
      <c r="L325" s="380"/>
      <c r="M325" s="381"/>
    </row>
    <row r="326" spans="1:13" ht="32.25" thickBot="1">
      <c r="A326" s="393" t="s">
        <v>545</v>
      </c>
      <c r="B326" s="451">
        <f>C326+D326+E326+F326</f>
        <v>34</v>
      </c>
      <c r="C326" s="418"/>
      <c r="D326" s="418"/>
      <c r="E326" s="418">
        <v>34</v>
      </c>
      <c r="F326" s="395"/>
      <c r="G326" s="453"/>
      <c r="H326" s="419">
        <f>((100*E326)/E324)-100</f>
        <v>385.71428571428572</v>
      </c>
      <c r="I326" s="419">
        <f>((100*B326)/B324)-100</f>
        <v>385.71428571428572</v>
      </c>
      <c r="J326" s="416">
        <v>30</v>
      </c>
      <c r="K326" s="514" t="s">
        <v>660</v>
      </c>
      <c r="L326" s="399"/>
      <c r="M326" s="400"/>
    </row>
    <row r="327" spans="1:13">
      <c r="A327" s="820" t="s">
        <v>661</v>
      </c>
      <c r="B327" s="821"/>
      <c r="C327" s="821"/>
      <c r="D327" s="821"/>
      <c r="E327" s="821"/>
      <c r="F327" s="821"/>
      <c r="G327" s="821"/>
      <c r="H327" s="821"/>
      <c r="I327" s="821"/>
      <c r="J327" s="821"/>
      <c r="K327" s="821"/>
      <c r="L327" s="821"/>
      <c r="M327" s="822"/>
    </row>
    <row r="328" spans="1:13">
      <c r="A328" s="373" t="s">
        <v>542</v>
      </c>
      <c r="B328" s="374">
        <f>C328+D328+E328</f>
        <v>20</v>
      </c>
      <c r="C328" s="375"/>
      <c r="D328" s="375"/>
      <c r="E328" s="375">
        <v>20</v>
      </c>
      <c r="F328" s="376"/>
      <c r="G328" s="382"/>
      <c r="H328" s="377"/>
      <c r="I328" s="377"/>
      <c r="J328" s="378"/>
      <c r="K328" s="379"/>
      <c r="L328" s="380"/>
      <c r="M328" s="381"/>
    </row>
    <row r="329" spans="1:13">
      <c r="A329" s="373"/>
      <c r="B329" s="374"/>
      <c r="C329" s="375"/>
      <c r="D329" s="375"/>
      <c r="E329" s="375"/>
      <c r="F329" s="376"/>
      <c r="G329" s="377"/>
      <c r="H329" s="377"/>
      <c r="I329" s="377"/>
      <c r="J329" s="383"/>
      <c r="K329" s="384"/>
      <c r="L329" s="380"/>
      <c r="M329" s="381"/>
    </row>
    <row r="330" spans="1:13" ht="32.25" thickBot="1">
      <c r="A330" s="393" t="s">
        <v>545</v>
      </c>
      <c r="B330" s="451">
        <f>C330+D330+E330+F330</f>
        <v>70</v>
      </c>
      <c r="C330" s="418"/>
      <c r="D330" s="418"/>
      <c r="E330" s="418">
        <v>70</v>
      </c>
      <c r="F330" s="395"/>
      <c r="G330" s="453"/>
      <c r="H330" s="419">
        <f>((100*E330)/E328)-100</f>
        <v>250</v>
      </c>
      <c r="I330" s="419">
        <f>((100*B330)/B328)-100</f>
        <v>250</v>
      </c>
      <c r="J330" s="397"/>
      <c r="K330" s="417"/>
      <c r="L330" s="399"/>
      <c r="M330" s="400"/>
    </row>
    <row r="331" spans="1:13" ht="16.5" thickBot="1">
      <c r="A331" s="820"/>
      <c r="B331" s="821"/>
      <c r="C331" s="821"/>
      <c r="D331" s="821"/>
      <c r="E331" s="821"/>
      <c r="F331" s="821"/>
      <c r="G331" s="821"/>
      <c r="H331" s="821"/>
      <c r="I331" s="821"/>
      <c r="J331" s="821"/>
      <c r="K331" s="821"/>
      <c r="L331" s="821"/>
      <c r="M331" s="822"/>
    </row>
    <row r="332" spans="1:13" ht="22.5" customHeight="1" thickBot="1">
      <c r="A332" s="811" t="s">
        <v>662</v>
      </c>
      <c r="B332" s="812"/>
      <c r="C332" s="812"/>
      <c r="D332" s="812"/>
      <c r="E332" s="812"/>
      <c r="F332" s="812"/>
      <c r="G332" s="812"/>
      <c r="H332" s="812"/>
      <c r="I332" s="812"/>
      <c r="J332" s="812"/>
      <c r="K332" s="812"/>
      <c r="L332" s="812"/>
      <c r="M332" s="813"/>
    </row>
    <row r="333" spans="1:13">
      <c r="A333" s="470" t="s">
        <v>542</v>
      </c>
      <c r="B333" s="533">
        <f>B328+B324+B319+B315+B311+B307+B303+B299+B295+B291+B287+B283+B278+B274+B270+B266+B262+B257+B251+B247+B234+B242+B239</f>
        <v>9962.6999999999989</v>
      </c>
      <c r="C333" s="471">
        <f>C328+C324+C319+C315+C311+C307+C303+C299+C295+C291+C287+C283+C278+C274+C270+C266+C262+C257+C251+C247+C234+C242+C239</f>
        <v>2631.2999999999997</v>
      </c>
      <c r="D333" s="471">
        <f>D328+D324+D319+D315+D311+D307+D303+D299+D295+D291+D287+D283+D278+D274+D270+D266+D262+D257+D251+D247+D234+D242+D239</f>
        <v>38.099999999999994</v>
      </c>
      <c r="E333" s="471">
        <f>E328+E324+E319+E315+E311+E307+E303+E299+E295+E291+E287+E283+E278+E274+E270+E266+E262+E257+E251+E247+E234+E242+E239</f>
        <v>7293.3</v>
      </c>
      <c r="F333" s="515"/>
      <c r="G333" s="515"/>
      <c r="H333" s="516"/>
      <c r="I333" s="516"/>
      <c r="J333" s="517"/>
      <c r="K333" s="518"/>
      <c r="L333" s="519"/>
      <c r="M333" s="520"/>
    </row>
    <row r="334" spans="1:13">
      <c r="A334" s="475"/>
      <c r="B334" s="521"/>
      <c r="C334" s="522"/>
      <c r="D334" s="522"/>
      <c r="E334" s="522"/>
      <c r="F334" s="522"/>
      <c r="G334" s="522"/>
      <c r="H334" s="523"/>
      <c r="I334" s="523"/>
      <c r="J334" s="524"/>
      <c r="K334" s="525"/>
      <c r="L334" s="525"/>
      <c r="M334" s="526"/>
    </row>
    <row r="335" spans="1:13" ht="32.25" thickBot="1">
      <c r="A335" s="465" t="s">
        <v>545</v>
      </c>
      <c r="B335" s="892">
        <f>B330+B326+B321+B317+B313+B309+B305+B301+B297+B293+B289+B285+B280+B276+B272+B268+B264+B259+B253+B249+B236+B245</f>
        <v>9960.148000000001</v>
      </c>
      <c r="C335" s="467">
        <f>C330+C326+C321+C317+C313+C309+C305+C301+C297+C293+C289+C285+C280+C276+C272+C268+C264+C259+C253+C249+C236+C245</f>
        <v>3056</v>
      </c>
      <c r="D335" s="467">
        <f>D330+D326+D321+D317+D313+D309+D305+D301+D297+D293+D289+D285+D280+D276+D272+D268+D264+D259+D253+D249+D236+D245</f>
        <v>44.3</v>
      </c>
      <c r="E335" s="527">
        <f>E330+E326+E321+E317+E313+E309+E305+E301+E297+E293+E289+E285+E280+E276+E272+E268+E264+E259+E253+E249+E236+E245</f>
        <v>6854.0479999999998</v>
      </c>
      <c r="F335" s="467">
        <f>F330+F326+F321+F317+F313+F309+F305+F301+F297+F293+F289+F285+F280+F276+F272+F268+F264+F259+F253+F249+F236+F245</f>
        <v>5.8</v>
      </c>
      <c r="G335" s="467">
        <f>C335/C333*100-100</f>
        <v>16.14031087295254</v>
      </c>
      <c r="H335" s="467">
        <f>((100*E335)/E333)-100</f>
        <v>-6.0226783486213549</v>
      </c>
      <c r="I335" s="419">
        <f>((100*B335)/B333)-100</f>
        <v>-2.5615545986511279E-2</v>
      </c>
      <c r="J335" s="528"/>
      <c r="K335" s="529"/>
      <c r="L335" s="529"/>
      <c r="M335" s="530"/>
    </row>
    <row r="336" spans="1:13" ht="19.5" customHeight="1">
      <c r="A336" s="823" t="s">
        <v>663</v>
      </c>
      <c r="B336" s="824"/>
      <c r="C336" s="824"/>
      <c r="D336" s="824"/>
      <c r="E336" s="824"/>
      <c r="F336" s="824"/>
      <c r="G336" s="824"/>
      <c r="H336" s="824"/>
      <c r="I336" s="824"/>
      <c r="J336" s="824"/>
      <c r="K336" s="824"/>
      <c r="L336" s="824"/>
      <c r="M336" s="825"/>
    </row>
    <row r="337" spans="1:13" ht="9.75" customHeight="1">
      <c r="A337" s="682"/>
      <c r="B337" s="831"/>
      <c r="C337" s="831"/>
      <c r="D337" s="831"/>
      <c r="E337" s="831"/>
      <c r="F337" s="831"/>
      <c r="G337" s="831"/>
      <c r="H337" s="831"/>
      <c r="I337" s="831"/>
      <c r="J337" s="831"/>
      <c r="K337" s="831"/>
      <c r="L337" s="831"/>
      <c r="M337" s="832"/>
    </row>
    <row r="338" spans="1:13">
      <c r="A338" s="817" t="s">
        <v>664</v>
      </c>
      <c r="B338" s="818"/>
      <c r="C338" s="818"/>
      <c r="D338" s="818"/>
      <c r="E338" s="818"/>
      <c r="F338" s="818"/>
      <c r="G338" s="818"/>
      <c r="H338" s="818"/>
      <c r="I338" s="818"/>
      <c r="J338" s="818"/>
      <c r="K338" s="818"/>
      <c r="L338" s="818"/>
      <c r="M338" s="819"/>
    </row>
    <row r="339" spans="1:13">
      <c r="A339" s="373" t="s">
        <v>542</v>
      </c>
      <c r="B339" s="374">
        <f>C339+D339+E339</f>
        <v>1400</v>
      </c>
      <c r="C339" s="375"/>
      <c r="D339" s="375"/>
      <c r="E339" s="375">
        <v>1400</v>
      </c>
      <c r="F339" s="376"/>
      <c r="G339" s="382"/>
      <c r="H339" s="377"/>
      <c r="I339" s="377"/>
      <c r="J339" s="378"/>
      <c r="K339" s="379"/>
      <c r="L339" s="380"/>
      <c r="M339" s="381"/>
    </row>
    <row r="340" spans="1:13">
      <c r="A340" s="373"/>
      <c r="B340" s="374"/>
      <c r="C340" s="375"/>
      <c r="D340" s="375"/>
      <c r="E340" s="375"/>
      <c r="F340" s="376"/>
      <c r="G340" s="377"/>
      <c r="H340" s="377"/>
      <c r="I340" s="377"/>
      <c r="J340" s="383"/>
      <c r="K340" s="384"/>
      <c r="L340" s="380"/>
      <c r="M340" s="381"/>
    </row>
    <row r="341" spans="1:13" ht="32.25" thickBot="1">
      <c r="A341" s="393" t="s">
        <v>545</v>
      </c>
      <c r="B341" s="451">
        <f t="shared" ref="B341" si="11">C341+D341+E341</f>
        <v>1920</v>
      </c>
      <c r="C341" s="418"/>
      <c r="D341" s="418"/>
      <c r="E341" s="418">
        <v>1920</v>
      </c>
      <c r="F341" s="395"/>
      <c r="G341" s="453"/>
      <c r="H341" s="419">
        <f>((100*E341)/E339)-100</f>
        <v>37.142857142857139</v>
      </c>
      <c r="I341" s="419">
        <f>((100*B341)/B339)-100</f>
        <v>37.142857142857139</v>
      </c>
      <c r="J341" s="397"/>
      <c r="K341" s="417"/>
      <c r="L341" s="399"/>
      <c r="M341" s="400"/>
    </row>
    <row r="342" spans="1:13">
      <c r="A342" s="820" t="s">
        <v>665</v>
      </c>
      <c r="B342" s="821"/>
      <c r="C342" s="821"/>
      <c r="D342" s="821"/>
      <c r="E342" s="821"/>
      <c r="F342" s="821"/>
      <c r="G342" s="821"/>
      <c r="H342" s="821"/>
      <c r="I342" s="821"/>
      <c r="J342" s="821"/>
      <c r="K342" s="821"/>
      <c r="L342" s="821"/>
      <c r="M342" s="822"/>
    </row>
    <row r="343" spans="1:13">
      <c r="A343" s="373" t="s">
        <v>542</v>
      </c>
      <c r="B343" s="415">
        <f>C343+D343+E343</f>
        <v>221.9</v>
      </c>
      <c r="C343" s="376"/>
      <c r="D343" s="376"/>
      <c r="E343" s="376">
        <v>221.9</v>
      </c>
      <c r="F343" s="376"/>
      <c r="G343" s="382"/>
      <c r="H343" s="377"/>
      <c r="I343" s="377"/>
      <c r="J343" s="378"/>
      <c r="K343" s="379"/>
      <c r="L343" s="380"/>
      <c r="M343" s="381"/>
    </row>
    <row r="344" spans="1:13">
      <c r="A344" s="373"/>
      <c r="B344" s="415"/>
      <c r="C344" s="376"/>
      <c r="D344" s="376"/>
      <c r="E344" s="376"/>
      <c r="F344" s="376"/>
      <c r="G344" s="377"/>
      <c r="H344" s="377"/>
      <c r="I344" s="377"/>
      <c r="J344" s="383"/>
      <c r="K344" s="384"/>
      <c r="L344" s="380"/>
      <c r="M344" s="381"/>
    </row>
    <row r="345" spans="1:13" ht="32.25" thickBot="1">
      <c r="A345" s="385" t="s">
        <v>545</v>
      </c>
      <c r="B345" s="532">
        <f t="shared" ref="B345" si="12">C345+D345+E345</f>
        <v>285.45</v>
      </c>
      <c r="C345" s="410"/>
      <c r="D345" s="410"/>
      <c r="E345" s="410">
        <v>285.45</v>
      </c>
      <c r="F345" s="410"/>
      <c r="G345" s="459"/>
      <c r="H345" s="388">
        <f>((100*E345)/E343)-100</f>
        <v>28.639026588553406</v>
      </c>
      <c r="I345" s="388">
        <f>((100*B345)/B343)-100</f>
        <v>28.639026588553406</v>
      </c>
      <c r="J345" s="389">
        <v>36.450000000000003</v>
      </c>
      <c r="K345" s="407" t="s">
        <v>652</v>
      </c>
      <c r="L345" s="391"/>
      <c r="M345" s="392"/>
    </row>
    <row r="346" spans="1:13" ht="26.25" customHeight="1" thickBot="1">
      <c r="A346" s="811" t="s">
        <v>666</v>
      </c>
      <c r="B346" s="812"/>
      <c r="C346" s="812"/>
      <c r="D346" s="812"/>
      <c r="E346" s="812"/>
      <c r="F346" s="812"/>
      <c r="G346" s="812"/>
      <c r="H346" s="812"/>
      <c r="I346" s="812"/>
      <c r="J346" s="812"/>
      <c r="K346" s="812"/>
      <c r="L346" s="812"/>
      <c r="M346" s="813"/>
    </row>
    <row r="347" spans="1:13">
      <c r="A347" s="470" t="s">
        <v>542</v>
      </c>
      <c r="B347" s="533">
        <f>C347+D347+E347</f>
        <v>1621.9</v>
      </c>
      <c r="C347" s="471"/>
      <c r="D347" s="471"/>
      <c r="E347" s="471">
        <f>E343+E339</f>
        <v>1621.9</v>
      </c>
      <c r="F347" s="479"/>
      <c r="G347" s="479"/>
      <c r="H347" s="534"/>
      <c r="I347" s="534"/>
      <c r="J347" s="517"/>
      <c r="K347" s="518"/>
      <c r="L347" s="519"/>
      <c r="M347" s="520"/>
    </row>
    <row r="348" spans="1:13">
      <c r="A348" s="475"/>
      <c r="B348" s="486"/>
      <c r="C348" s="487"/>
      <c r="D348" s="487"/>
      <c r="E348" s="487"/>
      <c r="F348" s="487"/>
      <c r="G348" s="535"/>
      <c r="H348" s="472"/>
      <c r="I348" s="472"/>
      <c r="J348" s="524"/>
      <c r="K348" s="525"/>
      <c r="L348" s="525"/>
      <c r="M348" s="526"/>
    </row>
    <row r="349" spans="1:13" ht="32.25" thickBot="1">
      <c r="A349" s="465" t="s">
        <v>545</v>
      </c>
      <c r="B349" s="891">
        <f>B345+B341</f>
        <v>2205.4499999999998</v>
      </c>
      <c r="C349" s="536">
        <f t="shared" ref="C349:F349" si="13">C345+C341</f>
        <v>0</v>
      </c>
      <c r="D349" s="536">
        <f t="shared" si="13"/>
        <v>0</v>
      </c>
      <c r="E349" s="536">
        <f t="shared" si="13"/>
        <v>2205.4499999999998</v>
      </c>
      <c r="F349" s="490">
        <f t="shared" si="13"/>
        <v>0</v>
      </c>
      <c r="G349" s="490">
        <v>0</v>
      </c>
      <c r="H349" s="467">
        <f>((100*E349)/E347)-100</f>
        <v>35.979406868487558</v>
      </c>
      <c r="I349" s="419">
        <f>((100*B349)/B347)-100</f>
        <v>35.979406868487558</v>
      </c>
      <c r="J349" s="528"/>
      <c r="K349" s="529"/>
      <c r="L349" s="529"/>
      <c r="M349" s="530"/>
    </row>
    <row r="350" spans="1:13" ht="21.75" customHeight="1">
      <c r="A350" s="823" t="s">
        <v>667</v>
      </c>
      <c r="B350" s="824"/>
      <c r="C350" s="824"/>
      <c r="D350" s="824"/>
      <c r="E350" s="824"/>
      <c r="F350" s="824"/>
      <c r="G350" s="824"/>
      <c r="H350" s="824"/>
      <c r="I350" s="824"/>
      <c r="J350" s="824"/>
      <c r="K350" s="824"/>
      <c r="L350" s="824"/>
      <c r="M350" s="825"/>
    </row>
    <row r="351" spans="1:13" ht="6.75" customHeight="1">
      <c r="A351" s="531"/>
      <c r="B351" s="537"/>
      <c r="C351" s="538"/>
      <c r="D351" s="538"/>
      <c r="E351" s="538"/>
      <c r="F351" s="538"/>
      <c r="G351" s="538"/>
      <c r="H351" s="826"/>
      <c r="I351" s="826"/>
      <c r="J351" s="826"/>
      <c r="K351" s="826"/>
      <c r="L351" s="826"/>
      <c r="M351" s="827"/>
    </row>
    <row r="352" spans="1:13">
      <c r="A352" s="817" t="s">
        <v>668</v>
      </c>
      <c r="B352" s="818"/>
      <c r="C352" s="818"/>
      <c r="D352" s="818"/>
      <c r="E352" s="818"/>
      <c r="F352" s="818"/>
      <c r="G352" s="818"/>
      <c r="H352" s="818"/>
      <c r="I352" s="818"/>
      <c r="J352" s="818"/>
      <c r="K352" s="818"/>
      <c r="L352" s="818"/>
      <c r="M352" s="819"/>
    </row>
    <row r="353" spans="1:13">
      <c r="A353" s="373" t="s">
        <v>542</v>
      </c>
      <c r="B353" s="415">
        <f>C353+D353+E353</f>
        <v>945.30000000000007</v>
      </c>
      <c r="C353" s="539">
        <v>841.5</v>
      </c>
      <c r="D353" s="539">
        <v>12.2</v>
      </c>
      <c r="E353" s="539">
        <v>91.6</v>
      </c>
      <c r="F353" s="539"/>
      <c r="G353" s="540"/>
      <c r="H353" s="377"/>
      <c r="I353" s="377"/>
      <c r="J353" s="378"/>
      <c r="K353" s="379" t="s">
        <v>669</v>
      </c>
      <c r="L353" s="380"/>
      <c r="M353" s="381"/>
    </row>
    <row r="354" spans="1:13" ht="31.5">
      <c r="A354" s="373"/>
      <c r="B354" s="415"/>
      <c r="C354" s="376"/>
      <c r="D354" s="376"/>
      <c r="E354" s="376"/>
      <c r="F354" s="376"/>
      <c r="G354" s="382"/>
      <c r="H354" s="377"/>
      <c r="I354" s="377"/>
      <c r="J354" s="378">
        <v>4.4000000000000004</v>
      </c>
      <c r="K354" s="457" t="s">
        <v>670</v>
      </c>
      <c r="L354" s="380"/>
      <c r="M354" s="381"/>
    </row>
    <row r="355" spans="1:13" ht="31.5">
      <c r="A355" s="413" t="s">
        <v>545</v>
      </c>
      <c r="B355" s="415">
        <f>C355+D355+E355+F355</f>
        <v>1036.2</v>
      </c>
      <c r="C355" s="376">
        <v>916.2</v>
      </c>
      <c r="D355" s="376">
        <v>13.3</v>
      </c>
      <c r="E355" s="376">
        <v>105.7</v>
      </c>
      <c r="F355" s="376">
        <v>1</v>
      </c>
      <c r="G355" s="414">
        <f>C355/C353*100-100</f>
        <v>8.8770053475935953</v>
      </c>
      <c r="H355" s="414">
        <f>((100*E355)/E353)-100</f>
        <v>15.39301310043669</v>
      </c>
      <c r="I355" s="414">
        <f>((100*B355)/B353)-100</f>
        <v>9.6159949222468981</v>
      </c>
      <c r="J355" s="454"/>
      <c r="K355" s="384"/>
      <c r="L355" s="380"/>
      <c r="M355" s="381"/>
    </row>
    <row r="356" spans="1:13">
      <c r="A356" s="413"/>
      <c r="B356" s="415"/>
      <c r="C356" s="376"/>
      <c r="D356" s="376"/>
      <c r="E356" s="376"/>
      <c r="F356" s="376"/>
      <c r="G356" s="377"/>
      <c r="H356" s="377"/>
      <c r="I356" s="377"/>
      <c r="J356" s="454">
        <v>5</v>
      </c>
      <c r="K356" s="384" t="s">
        <v>671</v>
      </c>
      <c r="L356" s="380"/>
      <c r="M356" s="381"/>
    </row>
    <row r="357" spans="1:13">
      <c r="A357" s="413"/>
      <c r="B357" s="415"/>
      <c r="C357" s="376"/>
      <c r="D357" s="376"/>
      <c r="E357" s="376"/>
      <c r="F357" s="376"/>
      <c r="G357" s="377"/>
      <c r="H357" s="377"/>
      <c r="I357" s="377"/>
      <c r="J357" s="454">
        <v>2.4</v>
      </c>
      <c r="K357" s="384" t="s">
        <v>650</v>
      </c>
      <c r="L357" s="380"/>
      <c r="M357" s="381"/>
    </row>
    <row r="358" spans="1:13" ht="16.5" thickBot="1">
      <c r="A358" s="393"/>
      <c r="B358" s="394"/>
      <c r="C358" s="395"/>
      <c r="D358" s="395"/>
      <c r="E358" s="395"/>
      <c r="F358" s="395"/>
      <c r="G358" s="453"/>
      <c r="H358" s="396"/>
      <c r="I358" s="396"/>
      <c r="J358" s="541">
        <v>2.8</v>
      </c>
      <c r="K358" s="417" t="s">
        <v>672</v>
      </c>
      <c r="L358" s="399"/>
      <c r="M358" s="400"/>
    </row>
    <row r="359" spans="1:13">
      <c r="A359" s="820" t="s">
        <v>673</v>
      </c>
      <c r="B359" s="821"/>
      <c r="C359" s="821"/>
      <c r="D359" s="821"/>
      <c r="E359" s="821"/>
      <c r="F359" s="821"/>
      <c r="G359" s="821"/>
      <c r="H359" s="821"/>
      <c r="I359" s="821"/>
      <c r="J359" s="821"/>
      <c r="K359" s="821"/>
      <c r="L359" s="821"/>
      <c r="M359" s="822"/>
    </row>
    <row r="360" spans="1:13" ht="31.5">
      <c r="A360" s="373" t="s">
        <v>542</v>
      </c>
      <c r="B360" s="415">
        <f>C360+D360+E360</f>
        <v>149.80000000000001</v>
      </c>
      <c r="C360" s="510">
        <v>103.1</v>
      </c>
      <c r="D360" s="510">
        <v>1.5</v>
      </c>
      <c r="E360" s="510">
        <v>45.2</v>
      </c>
      <c r="F360" s="510"/>
      <c r="G360" s="540"/>
      <c r="H360" s="377"/>
      <c r="I360" s="377"/>
      <c r="J360" s="378">
        <v>3</v>
      </c>
      <c r="K360" s="511" t="s">
        <v>674</v>
      </c>
      <c r="L360" s="380"/>
      <c r="M360" s="381"/>
    </row>
    <row r="361" spans="1:13">
      <c r="A361" s="373"/>
      <c r="B361" s="415"/>
      <c r="C361" s="376"/>
      <c r="D361" s="376"/>
      <c r="E361" s="376"/>
      <c r="F361" s="376"/>
      <c r="G361" s="382"/>
      <c r="H361" s="377"/>
      <c r="I361" s="377"/>
      <c r="J361" s="378"/>
      <c r="K361" s="384"/>
      <c r="L361" s="380"/>
      <c r="M361" s="381"/>
    </row>
    <row r="362" spans="1:13" ht="31.5">
      <c r="A362" s="413" t="s">
        <v>545</v>
      </c>
      <c r="B362" s="415">
        <f>C362+D362+E362+F362</f>
        <v>182.50000000000003</v>
      </c>
      <c r="C362" s="376">
        <v>131.4</v>
      </c>
      <c r="D362" s="376">
        <v>1.9</v>
      </c>
      <c r="E362" s="376">
        <v>48.8</v>
      </c>
      <c r="F362" s="376">
        <v>0.4</v>
      </c>
      <c r="G362" s="414">
        <f>C362/C360*100-100</f>
        <v>27.449078564500496</v>
      </c>
      <c r="H362" s="414">
        <f>E362/E360*100-100</f>
        <v>7.9646017699114964</v>
      </c>
      <c r="I362" s="414">
        <f>B362/B360*100-100</f>
        <v>21.829105473965299</v>
      </c>
      <c r="J362" s="378">
        <v>20.100000000000001</v>
      </c>
      <c r="K362" s="688" t="s">
        <v>791</v>
      </c>
      <c r="L362" s="380"/>
      <c r="M362" s="381"/>
    </row>
    <row r="363" spans="1:13">
      <c r="A363" s="413"/>
      <c r="B363" s="415"/>
      <c r="C363" s="376"/>
      <c r="D363" s="376"/>
      <c r="E363" s="376"/>
      <c r="F363" s="376"/>
      <c r="G363" s="377"/>
      <c r="H363" s="377"/>
      <c r="I363" s="377"/>
      <c r="J363" s="378">
        <v>1</v>
      </c>
      <c r="K363" s="688" t="s">
        <v>794</v>
      </c>
      <c r="L363" s="380"/>
      <c r="M363" s="381"/>
    </row>
    <row r="364" spans="1:13" ht="16.5" thickBot="1">
      <c r="A364" s="393"/>
      <c r="B364" s="394"/>
      <c r="C364" s="395"/>
      <c r="D364" s="395"/>
      <c r="E364" s="395"/>
      <c r="F364" s="395"/>
      <c r="G364" s="396"/>
      <c r="H364" s="396"/>
      <c r="I364" s="396"/>
      <c r="J364" s="416">
        <v>8</v>
      </c>
      <c r="K364" s="417" t="s">
        <v>675</v>
      </c>
      <c r="L364" s="399"/>
      <c r="M364" s="400"/>
    </row>
    <row r="365" spans="1:13">
      <c r="A365" s="820" t="s">
        <v>676</v>
      </c>
      <c r="B365" s="821"/>
      <c r="C365" s="821"/>
      <c r="D365" s="821"/>
      <c r="E365" s="821"/>
      <c r="F365" s="821"/>
      <c r="G365" s="821"/>
      <c r="H365" s="821"/>
      <c r="I365" s="821"/>
      <c r="J365" s="821"/>
      <c r="K365" s="821"/>
      <c r="L365" s="821"/>
      <c r="M365" s="822"/>
    </row>
    <row r="366" spans="1:13">
      <c r="A366" s="373" t="s">
        <v>542</v>
      </c>
      <c r="B366" s="415">
        <f>C366+D366+E366</f>
        <v>681.8</v>
      </c>
      <c r="C366" s="539">
        <v>503.3</v>
      </c>
      <c r="D366" s="539">
        <v>7.3</v>
      </c>
      <c r="E366" s="539">
        <v>171.2</v>
      </c>
      <c r="F366" s="539"/>
      <c r="G366" s="540"/>
      <c r="H366" s="377"/>
      <c r="I366" s="377"/>
      <c r="J366" s="378">
        <v>20</v>
      </c>
      <c r="K366" s="379" t="s">
        <v>677</v>
      </c>
      <c r="L366" s="380"/>
      <c r="M366" s="381"/>
    </row>
    <row r="367" spans="1:13">
      <c r="A367" s="373"/>
      <c r="B367" s="415"/>
      <c r="C367" s="539"/>
      <c r="D367" s="539"/>
      <c r="E367" s="539"/>
      <c r="F367" s="539"/>
      <c r="G367" s="540"/>
      <c r="H367" s="377"/>
      <c r="I367" s="377"/>
      <c r="J367" s="378">
        <v>30.4</v>
      </c>
      <c r="K367" s="379" t="s">
        <v>678</v>
      </c>
      <c r="L367" s="380"/>
      <c r="M367" s="381"/>
    </row>
    <row r="368" spans="1:13">
      <c r="A368" s="373"/>
      <c r="B368" s="415"/>
      <c r="C368" s="539"/>
      <c r="D368" s="539"/>
      <c r="E368" s="539"/>
      <c r="F368" s="539"/>
      <c r="G368" s="540"/>
      <c r="H368" s="377"/>
      <c r="I368" s="377"/>
      <c r="J368" s="378"/>
      <c r="K368" s="379" t="s">
        <v>669</v>
      </c>
      <c r="L368" s="380"/>
      <c r="M368" s="381"/>
    </row>
    <row r="369" spans="1:13">
      <c r="A369" s="373"/>
      <c r="B369" s="415"/>
      <c r="C369" s="376"/>
      <c r="D369" s="376"/>
      <c r="E369" s="376"/>
      <c r="F369" s="376"/>
      <c r="G369" s="382"/>
      <c r="H369" s="377"/>
      <c r="I369" s="377"/>
      <c r="J369" s="378">
        <v>14</v>
      </c>
      <c r="K369" s="384" t="s">
        <v>679</v>
      </c>
      <c r="L369" s="380"/>
      <c r="M369" s="381"/>
    </row>
    <row r="370" spans="1:13" ht="31.5">
      <c r="A370" s="413" t="s">
        <v>545</v>
      </c>
      <c r="B370" s="415">
        <f>C370+D370+E370+F370</f>
        <v>737.10000000000014</v>
      </c>
      <c r="C370" s="376">
        <v>564.20000000000005</v>
      </c>
      <c r="D370" s="376">
        <v>8.1999999999999993</v>
      </c>
      <c r="E370" s="376">
        <v>164.7</v>
      </c>
      <c r="F370" s="376"/>
      <c r="G370" s="414">
        <f>C370/C366*100-100</f>
        <v>12.100139082058419</v>
      </c>
      <c r="H370" s="414">
        <f>((100*E370)/E366)-100</f>
        <v>-3.7967289719626081</v>
      </c>
      <c r="I370" s="414">
        <f>((100*B370)/B366)-100</f>
        <v>8.1108829568788821</v>
      </c>
      <c r="J370" s="695">
        <v>10</v>
      </c>
      <c r="K370" s="384" t="s">
        <v>680</v>
      </c>
      <c r="L370" s="380"/>
      <c r="M370" s="381"/>
    </row>
    <row r="371" spans="1:13">
      <c r="A371" s="413"/>
      <c r="B371" s="415"/>
      <c r="C371" s="376"/>
      <c r="D371" s="376"/>
      <c r="E371" s="376"/>
      <c r="F371" s="376"/>
      <c r="G371" s="377"/>
      <c r="H371" s="377"/>
      <c r="I371" s="377"/>
      <c r="J371" s="542">
        <v>25</v>
      </c>
      <c r="K371" s="384" t="s">
        <v>681</v>
      </c>
      <c r="L371" s="380"/>
      <c r="M371" s="508"/>
    </row>
    <row r="372" spans="1:13">
      <c r="A372" s="413"/>
      <c r="B372" s="415"/>
      <c r="C372" s="376"/>
      <c r="D372" s="376"/>
      <c r="E372" s="376"/>
      <c r="F372" s="376"/>
      <c r="G372" s="377"/>
      <c r="H372" s="377"/>
      <c r="I372" s="377"/>
      <c r="J372" s="542">
        <v>8.8000000000000007</v>
      </c>
      <c r="K372" s="688" t="s">
        <v>794</v>
      </c>
      <c r="L372" s="380"/>
      <c r="M372" s="508"/>
    </row>
    <row r="373" spans="1:13" ht="32.25" thickBot="1">
      <c r="A373" s="393"/>
      <c r="B373" s="394"/>
      <c r="C373" s="395"/>
      <c r="D373" s="395"/>
      <c r="E373" s="395"/>
      <c r="F373" s="395"/>
      <c r="G373" s="396"/>
      <c r="H373" s="396"/>
      <c r="I373" s="396"/>
      <c r="J373" s="543">
        <v>1.9</v>
      </c>
      <c r="K373" s="398" t="s">
        <v>682</v>
      </c>
      <c r="L373" s="399"/>
      <c r="M373" s="509"/>
    </row>
    <row r="374" spans="1:13">
      <c r="A374" s="820" t="s">
        <v>684</v>
      </c>
      <c r="B374" s="821"/>
      <c r="C374" s="821"/>
      <c r="D374" s="821"/>
      <c r="E374" s="821"/>
      <c r="F374" s="821"/>
      <c r="G374" s="821"/>
      <c r="H374" s="821"/>
      <c r="I374" s="821"/>
      <c r="J374" s="821"/>
      <c r="K374" s="821"/>
      <c r="L374" s="821"/>
      <c r="M374" s="822"/>
    </row>
    <row r="375" spans="1:13">
      <c r="A375" s="373" t="s">
        <v>542</v>
      </c>
      <c r="B375" s="374">
        <f>C375+D375+E375</f>
        <v>40</v>
      </c>
      <c r="C375" s="375"/>
      <c r="D375" s="375"/>
      <c r="E375" s="375">
        <v>40</v>
      </c>
      <c r="F375" s="376"/>
      <c r="G375" s="382"/>
      <c r="H375" s="377"/>
      <c r="I375" s="377"/>
      <c r="J375" s="378"/>
      <c r="K375" s="379"/>
      <c r="L375" s="380"/>
      <c r="M375" s="381"/>
    </row>
    <row r="376" spans="1:13">
      <c r="A376" s="373"/>
      <c r="B376" s="374"/>
      <c r="C376" s="375"/>
      <c r="D376" s="375"/>
      <c r="E376" s="375"/>
      <c r="F376" s="376"/>
      <c r="G376" s="382"/>
      <c r="H376" s="377"/>
      <c r="I376" s="377"/>
      <c r="J376" s="383"/>
      <c r="K376" s="384"/>
      <c r="L376" s="380"/>
      <c r="M376" s="381"/>
    </row>
    <row r="377" spans="1:13" ht="32.25" thickBot="1">
      <c r="A377" s="393" t="s">
        <v>545</v>
      </c>
      <c r="B377" s="451">
        <f>C377+D377+E377+F377</f>
        <v>45</v>
      </c>
      <c r="C377" s="418"/>
      <c r="D377" s="418"/>
      <c r="E377" s="418">
        <v>45</v>
      </c>
      <c r="F377" s="395"/>
      <c r="G377" s="453"/>
      <c r="H377" s="419">
        <f>((100*E377)/E375)-100</f>
        <v>12.5</v>
      </c>
      <c r="I377" s="419">
        <f>((100*B377)/B375)-100</f>
        <v>12.5</v>
      </c>
      <c r="J377" s="397"/>
      <c r="K377" s="417"/>
      <c r="L377" s="399"/>
      <c r="M377" s="400"/>
    </row>
    <row r="378" spans="1:13">
      <c r="A378" s="820" t="s">
        <v>685</v>
      </c>
      <c r="B378" s="821"/>
      <c r="C378" s="821"/>
      <c r="D378" s="821"/>
      <c r="E378" s="821"/>
      <c r="F378" s="821"/>
      <c r="G378" s="821"/>
      <c r="H378" s="821"/>
      <c r="I378" s="821"/>
      <c r="J378" s="821"/>
      <c r="K378" s="821"/>
      <c r="L378" s="821"/>
      <c r="M378" s="822"/>
    </row>
    <row r="379" spans="1:13">
      <c r="A379" s="373" t="s">
        <v>542</v>
      </c>
      <c r="B379" s="374">
        <f>C379+D379+E379</f>
        <v>906</v>
      </c>
      <c r="C379" s="376">
        <v>763.4</v>
      </c>
      <c r="D379" s="376">
        <v>11.1</v>
      </c>
      <c r="E379" s="376">
        <v>131.5</v>
      </c>
      <c r="F379" s="376"/>
      <c r="G379" s="382"/>
      <c r="H379" s="377"/>
      <c r="I379" s="377"/>
      <c r="J379" s="378">
        <v>5</v>
      </c>
      <c r="K379" s="511" t="s">
        <v>686</v>
      </c>
      <c r="L379" s="380"/>
      <c r="M379" s="381"/>
    </row>
    <row r="380" spans="1:13">
      <c r="A380" s="373"/>
      <c r="B380" s="415"/>
      <c r="C380" s="376"/>
      <c r="D380" s="376"/>
      <c r="E380" s="376"/>
      <c r="F380" s="376"/>
      <c r="G380" s="382"/>
      <c r="H380" s="377"/>
      <c r="I380" s="377"/>
      <c r="J380" s="383"/>
      <c r="K380" s="384" t="s">
        <v>669</v>
      </c>
      <c r="L380" s="380"/>
      <c r="M380" s="381"/>
    </row>
    <row r="381" spans="1:13" ht="31.5">
      <c r="A381" s="413" t="s">
        <v>545</v>
      </c>
      <c r="B381" s="415">
        <f>C381+D381+E381+F381</f>
        <v>1006.1999999999999</v>
      </c>
      <c r="C381" s="376">
        <v>829.9</v>
      </c>
      <c r="D381" s="376">
        <v>12</v>
      </c>
      <c r="E381" s="376">
        <v>158.4</v>
      </c>
      <c r="F381" s="376">
        <v>5.9</v>
      </c>
      <c r="G381" s="414">
        <f>SUM(C381/C379*100-100)</f>
        <v>8.7110296044013609</v>
      </c>
      <c r="H381" s="414">
        <f>((100*E381)/E379)-100</f>
        <v>20.456273764258555</v>
      </c>
      <c r="I381" s="414">
        <f>((100*B381)/B379)-100</f>
        <v>11.059602649006621</v>
      </c>
      <c r="J381" s="378">
        <v>20</v>
      </c>
      <c r="K381" s="384" t="s">
        <v>687</v>
      </c>
      <c r="L381" s="380"/>
      <c r="M381" s="381"/>
    </row>
    <row r="382" spans="1:13" ht="16.5" thickBot="1">
      <c r="A382" s="393"/>
      <c r="B382" s="394"/>
      <c r="C382" s="395"/>
      <c r="D382" s="395"/>
      <c r="E382" s="395"/>
      <c r="F382" s="395"/>
      <c r="G382" s="396"/>
      <c r="H382" s="396"/>
      <c r="I382" s="396"/>
      <c r="J382" s="397">
        <v>8.6</v>
      </c>
      <c r="K382" s="690" t="s">
        <v>794</v>
      </c>
      <c r="L382" s="399"/>
      <c r="M382" s="400"/>
    </row>
    <row r="383" spans="1:13">
      <c r="A383" s="820" t="s">
        <v>688</v>
      </c>
      <c r="B383" s="821"/>
      <c r="C383" s="821"/>
      <c r="D383" s="821"/>
      <c r="E383" s="821"/>
      <c r="F383" s="821"/>
      <c r="G383" s="821"/>
      <c r="H383" s="821"/>
      <c r="I383" s="821"/>
      <c r="J383" s="821"/>
      <c r="K383" s="821"/>
      <c r="L383" s="821"/>
      <c r="M383" s="822"/>
    </row>
    <row r="384" spans="1:13">
      <c r="A384" s="373" t="s">
        <v>542</v>
      </c>
      <c r="B384" s="415">
        <f>C384+D384+E384</f>
        <v>236.9</v>
      </c>
      <c r="C384" s="539">
        <v>166.9</v>
      </c>
      <c r="D384" s="539">
        <v>2.4</v>
      </c>
      <c r="E384" s="539">
        <v>67.599999999999994</v>
      </c>
      <c r="F384" s="539"/>
      <c r="G384" s="540"/>
      <c r="H384" s="377"/>
      <c r="I384" s="377"/>
      <c r="J384" s="378">
        <v>3</v>
      </c>
      <c r="K384" s="379" t="s">
        <v>689</v>
      </c>
      <c r="L384" s="380"/>
      <c r="M384" s="381"/>
    </row>
    <row r="385" spans="1:13">
      <c r="A385" s="373"/>
      <c r="B385" s="415"/>
      <c r="C385" s="376"/>
      <c r="D385" s="376"/>
      <c r="E385" s="376"/>
      <c r="F385" s="376"/>
      <c r="G385" s="382"/>
      <c r="H385" s="377"/>
      <c r="I385" s="377"/>
      <c r="J385" s="383"/>
      <c r="K385" s="384" t="s">
        <v>669</v>
      </c>
      <c r="L385" s="380"/>
      <c r="M385" s="381"/>
    </row>
    <row r="386" spans="1:13" ht="31.5">
      <c r="A386" s="413" t="s">
        <v>545</v>
      </c>
      <c r="B386" s="512">
        <f>C386+D386+E386+F386</f>
        <v>261</v>
      </c>
      <c r="C386" s="376">
        <v>190.8</v>
      </c>
      <c r="D386" s="376">
        <v>2.8</v>
      </c>
      <c r="E386" s="544">
        <v>64.7</v>
      </c>
      <c r="F386" s="544">
        <v>2.7</v>
      </c>
      <c r="G386" s="414">
        <f>C386/C384*100-100</f>
        <v>14.319952067106058</v>
      </c>
      <c r="H386" s="414">
        <f>((100*E386)/E384)-100</f>
        <v>-4.289940828402365</v>
      </c>
      <c r="I386" s="414">
        <f>((100*B386)/B384)-100</f>
        <v>10.173068805403119</v>
      </c>
      <c r="J386" s="378">
        <v>7</v>
      </c>
      <c r="K386" s="688" t="s">
        <v>792</v>
      </c>
      <c r="L386" s="380">
        <v>4</v>
      </c>
      <c r="M386" s="381" t="s">
        <v>799</v>
      </c>
    </row>
    <row r="387" spans="1:13" ht="16.5" thickBot="1">
      <c r="A387" s="393"/>
      <c r="B387" s="394"/>
      <c r="C387" s="395"/>
      <c r="D387" s="395"/>
      <c r="E387" s="395"/>
      <c r="F387" s="395"/>
      <c r="G387" s="396"/>
      <c r="H387" s="396"/>
      <c r="I387" s="396"/>
      <c r="J387" s="416">
        <v>4</v>
      </c>
      <c r="K387" s="417" t="s">
        <v>687</v>
      </c>
      <c r="L387" s="399"/>
      <c r="M387" s="400"/>
    </row>
    <row r="388" spans="1:13">
      <c r="A388" s="820" t="s">
        <v>690</v>
      </c>
      <c r="B388" s="821"/>
      <c r="C388" s="821"/>
      <c r="D388" s="821"/>
      <c r="E388" s="821"/>
      <c r="F388" s="821"/>
      <c r="G388" s="821"/>
      <c r="H388" s="821"/>
      <c r="I388" s="821"/>
      <c r="J388" s="821"/>
      <c r="K388" s="821"/>
      <c r="L388" s="821"/>
      <c r="M388" s="822"/>
    </row>
    <row r="389" spans="1:13">
      <c r="A389" s="373" t="s">
        <v>542</v>
      </c>
      <c r="B389" s="415">
        <f>C389+D389+E389</f>
        <v>172.3</v>
      </c>
      <c r="C389" s="539">
        <v>118.6</v>
      </c>
      <c r="D389" s="539">
        <v>1.7</v>
      </c>
      <c r="E389" s="539">
        <v>52</v>
      </c>
      <c r="F389" s="539"/>
      <c r="G389" s="540"/>
      <c r="H389" s="377"/>
      <c r="I389" s="377"/>
      <c r="J389" s="378"/>
      <c r="K389" s="379" t="s">
        <v>669</v>
      </c>
      <c r="L389" s="380"/>
      <c r="M389" s="381"/>
    </row>
    <row r="390" spans="1:13">
      <c r="A390" s="373"/>
      <c r="B390" s="415"/>
      <c r="C390" s="376"/>
      <c r="D390" s="376"/>
      <c r="E390" s="376"/>
      <c r="F390" s="376"/>
      <c r="G390" s="382"/>
      <c r="H390" s="377"/>
      <c r="I390" s="377"/>
      <c r="J390" s="383"/>
      <c r="K390" s="384"/>
      <c r="L390" s="380"/>
      <c r="M390" s="381"/>
    </row>
    <row r="391" spans="1:13" ht="31.5">
      <c r="A391" s="413" t="s">
        <v>545</v>
      </c>
      <c r="B391" s="415">
        <f>C391+D391+E391+F391</f>
        <v>233.50000000000003</v>
      </c>
      <c r="C391" s="376">
        <v>128.80000000000001</v>
      </c>
      <c r="D391" s="376">
        <v>1.9</v>
      </c>
      <c r="E391" s="545">
        <v>101.2</v>
      </c>
      <c r="F391" s="545">
        <v>1.6</v>
      </c>
      <c r="G391" s="414">
        <f>C391/C389*100-100</f>
        <v>8.6003372681281718</v>
      </c>
      <c r="H391" s="414">
        <f>((100*E391)/E389)-100</f>
        <v>94.615384615384613</v>
      </c>
      <c r="I391" s="414">
        <f>((100*B391)/B389)-100</f>
        <v>35.519442832269306</v>
      </c>
      <c r="J391" s="378">
        <v>50</v>
      </c>
      <c r="K391" s="384" t="s">
        <v>691</v>
      </c>
      <c r="L391" s="380"/>
      <c r="M391" s="381"/>
    </row>
    <row r="392" spans="1:13" ht="16.5" thickBot="1">
      <c r="A392" s="393"/>
      <c r="B392" s="394"/>
      <c r="C392" s="395"/>
      <c r="D392" s="395"/>
      <c r="E392" s="546"/>
      <c r="F392" s="546"/>
      <c r="G392" s="396"/>
      <c r="H392" s="396"/>
      <c r="I392" s="396"/>
      <c r="J392" s="397"/>
      <c r="K392" s="417"/>
      <c r="L392" s="399"/>
      <c r="M392" s="400"/>
    </row>
    <row r="393" spans="1:13">
      <c r="A393" s="820" t="s">
        <v>692</v>
      </c>
      <c r="B393" s="821"/>
      <c r="C393" s="821"/>
      <c r="D393" s="821"/>
      <c r="E393" s="821"/>
      <c r="F393" s="821"/>
      <c r="G393" s="821"/>
      <c r="H393" s="821"/>
      <c r="I393" s="821"/>
      <c r="J393" s="821"/>
      <c r="K393" s="821"/>
      <c r="L393" s="821"/>
      <c r="M393" s="822"/>
    </row>
    <row r="394" spans="1:13" ht="31.5">
      <c r="A394" s="373" t="s">
        <v>542</v>
      </c>
      <c r="B394" s="415">
        <f>C394+D394+E394</f>
        <v>163.69999999999999</v>
      </c>
      <c r="C394" s="547">
        <v>123.7</v>
      </c>
      <c r="D394" s="547">
        <v>1.8</v>
      </c>
      <c r="E394" s="547">
        <v>38.200000000000003</v>
      </c>
      <c r="F394" s="547"/>
      <c r="G394" s="548"/>
      <c r="H394" s="377"/>
      <c r="I394" s="377"/>
      <c r="J394" s="378">
        <v>4.4000000000000004</v>
      </c>
      <c r="K394" s="511" t="s">
        <v>693</v>
      </c>
      <c r="L394" s="380"/>
      <c r="M394" s="381"/>
    </row>
    <row r="395" spans="1:13">
      <c r="A395" s="373"/>
      <c r="B395" s="415"/>
      <c r="C395" s="376"/>
      <c r="D395" s="376"/>
      <c r="E395" s="376"/>
      <c r="F395" s="376"/>
      <c r="G395" s="382"/>
      <c r="H395" s="377"/>
      <c r="I395" s="377"/>
      <c r="J395" s="378"/>
      <c r="K395" s="511" t="s">
        <v>669</v>
      </c>
      <c r="L395" s="380"/>
      <c r="M395" s="381"/>
    </row>
    <row r="396" spans="1:13" ht="32.25" thickBot="1">
      <c r="A396" s="393" t="s">
        <v>545</v>
      </c>
      <c r="B396" s="451">
        <f>C396+D396+E396+F396</f>
        <v>174.5</v>
      </c>
      <c r="C396" s="395">
        <v>134</v>
      </c>
      <c r="D396" s="395">
        <v>1.9</v>
      </c>
      <c r="E396" s="395">
        <v>37.299999999999997</v>
      </c>
      <c r="F396" s="395">
        <v>1.3</v>
      </c>
      <c r="G396" s="419">
        <f>C396/C394*100-100</f>
        <v>8.3265966046887456</v>
      </c>
      <c r="H396" s="419">
        <f>((100*E396)/E394)-100</f>
        <v>-2.3560209424083922</v>
      </c>
      <c r="I396" s="419">
        <f>((100*B396)/B394)-100</f>
        <v>6.5974343310934671</v>
      </c>
      <c r="J396" s="416">
        <v>2</v>
      </c>
      <c r="K396" s="417" t="s">
        <v>687</v>
      </c>
      <c r="L396" s="399"/>
      <c r="M396" s="400"/>
    </row>
    <row r="397" spans="1:13">
      <c r="A397" s="820" t="s">
        <v>694</v>
      </c>
      <c r="B397" s="821"/>
      <c r="C397" s="821"/>
      <c r="D397" s="821"/>
      <c r="E397" s="821"/>
      <c r="F397" s="821"/>
      <c r="G397" s="821"/>
      <c r="H397" s="821"/>
      <c r="I397" s="821"/>
      <c r="J397" s="821"/>
      <c r="K397" s="821"/>
      <c r="L397" s="821"/>
      <c r="M397" s="822"/>
    </row>
    <row r="398" spans="1:13">
      <c r="A398" s="373" t="s">
        <v>542</v>
      </c>
      <c r="B398" s="415">
        <f>C398+D398+E398</f>
        <v>235.1</v>
      </c>
      <c r="C398" s="376">
        <v>186.4</v>
      </c>
      <c r="D398" s="376">
        <v>2.7</v>
      </c>
      <c r="E398" s="376">
        <v>46</v>
      </c>
      <c r="F398" s="376"/>
      <c r="G398" s="382"/>
      <c r="H398" s="377"/>
      <c r="I398" s="377"/>
      <c r="J398" s="378">
        <v>1</v>
      </c>
      <c r="K398" s="379" t="s">
        <v>695</v>
      </c>
      <c r="L398" s="380"/>
      <c r="M398" s="381"/>
    </row>
    <row r="399" spans="1:13">
      <c r="A399" s="373"/>
      <c r="B399" s="415"/>
      <c r="C399" s="376"/>
      <c r="D399" s="376"/>
      <c r="E399" s="376"/>
      <c r="F399" s="376"/>
      <c r="G399" s="382"/>
      <c r="H399" s="377"/>
      <c r="I399" s="377"/>
      <c r="J399" s="378"/>
      <c r="K399" s="379" t="s">
        <v>669</v>
      </c>
      <c r="L399" s="380"/>
      <c r="M399" s="381"/>
    </row>
    <row r="400" spans="1:13" ht="31.5">
      <c r="A400" s="413" t="s">
        <v>545</v>
      </c>
      <c r="B400" s="374">
        <f>C400+D400+E400+F400</f>
        <v>255.10000000000002</v>
      </c>
      <c r="C400" s="376">
        <v>200.3</v>
      </c>
      <c r="D400" s="376">
        <v>2.9</v>
      </c>
      <c r="E400" s="376">
        <v>51.2</v>
      </c>
      <c r="F400" s="376">
        <v>0.7</v>
      </c>
      <c r="G400" s="414">
        <f>C400/C398*100-100</f>
        <v>7.4570815450643693</v>
      </c>
      <c r="H400" s="414">
        <f>((100*E400)/E398)-100</f>
        <v>11.304347826086953</v>
      </c>
      <c r="I400" s="414">
        <f>((100*B400)/B398)-100</f>
        <v>8.5070182900893485</v>
      </c>
      <c r="J400" s="378">
        <v>3</v>
      </c>
      <c r="K400" s="384" t="s">
        <v>687</v>
      </c>
      <c r="L400" s="380"/>
      <c r="M400" s="381" t="s">
        <v>800</v>
      </c>
    </row>
    <row r="401" spans="1:13" ht="16.5" thickBot="1">
      <c r="A401" s="393"/>
      <c r="B401" s="394"/>
      <c r="C401" s="395"/>
      <c r="D401" s="395"/>
      <c r="E401" s="395"/>
      <c r="F401" s="395"/>
      <c r="G401" s="396"/>
      <c r="H401" s="396"/>
      <c r="I401" s="396"/>
      <c r="J401" s="416">
        <v>2.4</v>
      </c>
      <c r="K401" s="690" t="s">
        <v>794</v>
      </c>
      <c r="L401" s="399"/>
      <c r="M401" s="400"/>
    </row>
    <row r="402" spans="1:13">
      <c r="A402" s="820" t="s">
        <v>683</v>
      </c>
      <c r="B402" s="821"/>
      <c r="C402" s="821"/>
      <c r="D402" s="821"/>
      <c r="E402" s="821"/>
      <c r="F402" s="821"/>
      <c r="G402" s="821"/>
      <c r="H402" s="821"/>
      <c r="I402" s="821"/>
      <c r="J402" s="821"/>
      <c r="K402" s="821"/>
      <c r="L402" s="821"/>
      <c r="M402" s="822"/>
    </row>
    <row r="403" spans="1:13">
      <c r="A403" s="373" t="s">
        <v>542</v>
      </c>
      <c r="B403" s="374">
        <f>C403+D403+E403</f>
        <v>80</v>
      </c>
      <c r="C403" s="375"/>
      <c r="D403" s="375"/>
      <c r="E403" s="375">
        <v>80</v>
      </c>
      <c r="F403" s="376"/>
      <c r="G403" s="382"/>
      <c r="H403" s="377"/>
      <c r="I403" s="377"/>
      <c r="J403" s="378"/>
      <c r="K403" s="379"/>
      <c r="L403" s="380"/>
      <c r="M403" s="381"/>
    </row>
    <row r="404" spans="1:13">
      <c r="A404" s="373"/>
      <c r="B404" s="374"/>
      <c r="C404" s="375"/>
      <c r="D404" s="375"/>
      <c r="E404" s="375"/>
      <c r="F404" s="376"/>
      <c r="G404" s="382"/>
      <c r="H404" s="377"/>
      <c r="I404" s="377"/>
      <c r="J404" s="383"/>
      <c r="K404" s="384"/>
      <c r="L404" s="380"/>
      <c r="M404" s="381"/>
    </row>
    <row r="405" spans="1:13" ht="32.25" thickBot="1">
      <c r="A405" s="393" t="s">
        <v>545</v>
      </c>
      <c r="B405" s="451">
        <f>C405+D405+E405+F405</f>
        <v>90</v>
      </c>
      <c r="C405" s="418"/>
      <c r="D405" s="418"/>
      <c r="E405" s="418">
        <v>90</v>
      </c>
      <c r="F405" s="395"/>
      <c r="G405" s="453"/>
      <c r="H405" s="419">
        <f>((100*E405)/E403)-100</f>
        <v>12.5</v>
      </c>
      <c r="I405" s="419">
        <f>((100*B405)/B403)-100</f>
        <v>12.5</v>
      </c>
      <c r="J405" s="397"/>
      <c r="K405" s="417"/>
      <c r="L405" s="399"/>
      <c r="M405" s="400"/>
    </row>
    <row r="406" spans="1:13">
      <c r="A406" s="820" t="s">
        <v>696</v>
      </c>
      <c r="B406" s="821"/>
      <c r="C406" s="821"/>
      <c r="D406" s="821"/>
      <c r="E406" s="821"/>
      <c r="F406" s="821"/>
      <c r="G406" s="821"/>
      <c r="H406" s="821"/>
      <c r="I406" s="821"/>
      <c r="J406" s="821"/>
      <c r="K406" s="821"/>
      <c r="L406" s="821"/>
      <c r="M406" s="822"/>
    </row>
    <row r="407" spans="1:13">
      <c r="A407" s="373" t="s">
        <v>542</v>
      </c>
      <c r="B407" s="374">
        <f>C407+D407+E407</f>
        <v>100</v>
      </c>
      <c r="C407" s="375"/>
      <c r="D407" s="375"/>
      <c r="E407" s="375">
        <v>100</v>
      </c>
      <c r="F407" s="376"/>
      <c r="G407" s="382"/>
      <c r="H407" s="377"/>
      <c r="I407" s="377"/>
      <c r="J407" s="378"/>
      <c r="K407" s="379"/>
      <c r="L407" s="380"/>
      <c r="M407" s="381"/>
    </row>
    <row r="408" spans="1:13">
      <c r="A408" s="373"/>
      <c r="B408" s="374"/>
      <c r="C408" s="375"/>
      <c r="D408" s="375"/>
      <c r="E408" s="375"/>
      <c r="F408" s="376"/>
      <c r="G408" s="382"/>
      <c r="H408" s="377"/>
      <c r="I408" s="377"/>
      <c r="J408" s="383"/>
      <c r="K408" s="384"/>
      <c r="L408" s="380"/>
      <c r="M408" s="381"/>
    </row>
    <row r="409" spans="1:13" ht="32.25" thickBot="1">
      <c r="A409" s="393" t="s">
        <v>545</v>
      </c>
      <c r="B409" s="451">
        <f>C409+D409+E409+F409</f>
        <v>120</v>
      </c>
      <c r="C409" s="418"/>
      <c r="D409" s="418"/>
      <c r="E409" s="418">
        <v>120</v>
      </c>
      <c r="F409" s="395"/>
      <c r="G409" s="453"/>
      <c r="H409" s="419">
        <f>((100*E409)/E407)-100</f>
        <v>20</v>
      </c>
      <c r="I409" s="419">
        <f>((100*B409)/B407)-100</f>
        <v>20</v>
      </c>
      <c r="J409" s="397"/>
      <c r="K409" s="417"/>
      <c r="L409" s="399"/>
      <c r="M409" s="400"/>
    </row>
    <row r="410" spans="1:13">
      <c r="A410" s="820" t="s">
        <v>697</v>
      </c>
      <c r="B410" s="821"/>
      <c r="C410" s="821"/>
      <c r="D410" s="821"/>
      <c r="E410" s="821"/>
      <c r="F410" s="821"/>
      <c r="G410" s="821"/>
      <c r="H410" s="821"/>
      <c r="I410" s="821"/>
      <c r="J410" s="821"/>
      <c r="K410" s="821"/>
      <c r="L410" s="821"/>
      <c r="M410" s="822"/>
    </row>
    <row r="411" spans="1:13">
      <c r="A411" s="373" t="s">
        <v>542</v>
      </c>
      <c r="B411" s="374">
        <f>C411+D411+E411</f>
        <v>10</v>
      </c>
      <c r="C411" s="375"/>
      <c r="D411" s="375"/>
      <c r="E411" s="375">
        <v>10</v>
      </c>
      <c r="F411" s="376"/>
      <c r="G411" s="382"/>
      <c r="H411" s="377"/>
      <c r="I411" s="377"/>
      <c r="J411" s="378"/>
      <c r="K411" s="379"/>
      <c r="L411" s="380"/>
      <c r="M411" s="381"/>
    </row>
    <row r="412" spans="1:13">
      <c r="A412" s="373"/>
      <c r="B412" s="374"/>
      <c r="C412" s="375"/>
      <c r="D412" s="375"/>
      <c r="E412" s="375"/>
      <c r="F412" s="376"/>
      <c r="G412" s="382"/>
      <c r="H412" s="377"/>
      <c r="I412" s="377"/>
      <c r="J412" s="383"/>
      <c r="K412" s="384"/>
      <c r="L412" s="380"/>
      <c r="M412" s="381"/>
    </row>
    <row r="413" spans="1:13" ht="32.25" thickBot="1">
      <c r="A413" s="393" t="s">
        <v>545</v>
      </c>
      <c r="B413" s="451">
        <f>C413+D413+E413+F413</f>
        <v>10</v>
      </c>
      <c r="C413" s="418"/>
      <c r="D413" s="418"/>
      <c r="E413" s="418">
        <v>10</v>
      </c>
      <c r="F413" s="395"/>
      <c r="G413" s="453"/>
      <c r="H413" s="396">
        <f>((100*E413)/E411)-100</f>
        <v>0</v>
      </c>
      <c r="I413" s="396">
        <f>((100*B413)/B411)-100</f>
        <v>0</v>
      </c>
      <c r="J413" s="397"/>
      <c r="K413" s="417"/>
      <c r="L413" s="399"/>
      <c r="M413" s="400"/>
    </row>
    <row r="414" spans="1:13">
      <c r="A414" s="820" t="s">
        <v>698</v>
      </c>
      <c r="B414" s="821"/>
      <c r="C414" s="821"/>
      <c r="D414" s="821"/>
      <c r="E414" s="821"/>
      <c r="F414" s="821"/>
      <c r="G414" s="821"/>
      <c r="H414" s="821"/>
      <c r="I414" s="821"/>
      <c r="J414" s="821"/>
      <c r="K414" s="821"/>
      <c r="L414" s="821"/>
      <c r="M414" s="822"/>
    </row>
    <row r="415" spans="1:13">
      <c r="A415" s="373" t="s">
        <v>542</v>
      </c>
      <c r="B415" s="374">
        <f>C415+D415+E415</f>
        <v>47</v>
      </c>
      <c r="C415" s="375"/>
      <c r="D415" s="375"/>
      <c r="E415" s="375">
        <v>47</v>
      </c>
      <c r="F415" s="376"/>
      <c r="G415" s="382"/>
      <c r="H415" s="377"/>
      <c r="I415" s="377"/>
      <c r="J415" s="378"/>
      <c r="K415" s="379"/>
      <c r="L415" s="380"/>
      <c r="M415" s="381"/>
    </row>
    <row r="416" spans="1:13">
      <c r="A416" s="373"/>
      <c r="B416" s="374"/>
      <c r="C416" s="375"/>
      <c r="D416" s="375"/>
      <c r="E416" s="375"/>
      <c r="F416" s="376"/>
      <c r="G416" s="382"/>
      <c r="H416" s="377"/>
      <c r="I416" s="377"/>
      <c r="J416" s="383"/>
      <c r="K416" s="384"/>
      <c r="L416" s="380"/>
      <c r="M416" s="381"/>
    </row>
    <row r="417" spans="1:13" ht="32.25" thickBot="1">
      <c r="A417" s="393" t="s">
        <v>545</v>
      </c>
      <c r="B417" s="451">
        <f>C417+D417+E417+F417</f>
        <v>55</v>
      </c>
      <c r="C417" s="418"/>
      <c r="D417" s="418"/>
      <c r="E417" s="418">
        <v>55</v>
      </c>
      <c r="F417" s="395"/>
      <c r="G417" s="453"/>
      <c r="H417" s="419">
        <f>((100*E417)/E415)-100</f>
        <v>17.021276595744681</v>
      </c>
      <c r="I417" s="419">
        <f>((100*B417)/B415)-100</f>
        <v>17.021276595744681</v>
      </c>
      <c r="J417" s="397"/>
      <c r="K417" s="417"/>
      <c r="L417" s="399"/>
      <c r="M417" s="400"/>
    </row>
    <row r="418" spans="1:13">
      <c r="A418" s="820" t="s">
        <v>699</v>
      </c>
      <c r="B418" s="821"/>
      <c r="C418" s="821"/>
      <c r="D418" s="821"/>
      <c r="E418" s="821"/>
      <c r="F418" s="821"/>
      <c r="G418" s="821"/>
      <c r="H418" s="821"/>
      <c r="I418" s="821"/>
      <c r="J418" s="821"/>
      <c r="K418" s="821"/>
      <c r="L418" s="821"/>
      <c r="M418" s="822"/>
    </row>
    <row r="419" spans="1:13">
      <c r="A419" s="373" t="s">
        <v>542</v>
      </c>
      <c r="B419" s="415">
        <f>C419+D419+E419</f>
        <v>41.2</v>
      </c>
      <c r="C419" s="376"/>
      <c r="D419" s="376"/>
      <c r="E419" s="376">
        <v>41.2</v>
      </c>
      <c r="F419" s="376"/>
      <c r="G419" s="382"/>
      <c r="H419" s="377"/>
      <c r="I419" s="377"/>
      <c r="J419" s="378"/>
      <c r="K419" s="379"/>
      <c r="L419" s="380"/>
      <c r="M419" s="381"/>
    </row>
    <row r="420" spans="1:13">
      <c r="A420" s="373"/>
      <c r="B420" s="415"/>
      <c r="C420" s="376"/>
      <c r="D420" s="376"/>
      <c r="E420" s="376"/>
      <c r="F420" s="376"/>
      <c r="G420" s="382"/>
      <c r="H420" s="377"/>
      <c r="I420" s="377"/>
      <c r="J420" s="383"/>
      <c r="K420" s="384"/>
      <c r="L420" s="380"/>
      <c r="M420" s="381"/>
    </row>
    <row r="421" spans="1:13" ht="32.25" thickBot="1">
      <c r="A421" s="393" t="s">
        <v>545</v>
      </c>
      <c r="B421" s="451">
        <f>C421+D421+E421+F421</f>
        <v>45</v>
      </c>
      <c r="C421" s="418"/>
      <c r="D421" s="418"/>
      <c r="E421" s="418">
        <v>45</v>
      </c>
      <c r="F421" s="395"/>
      <c r="G421" s="453"/>
      <c r="H421" s="419">
        <f>((100*E421)/E419)-100</f>
        <v>9.2233009708737796</v>
      </c>
      <c r="I421" s="419">
        <f>((100*B421)/B419)-100</f>
        <v>9.2233009708737796</v>
      </c>
      <c r="J421" s="397"/>
      <c r="K421" s="417"/>
      <c r="L421" s="399"/>
      <c r="M421" s="400"/>
    </row>
    <row r="422" spans="1:13">
      <c r="A422" s="820" t="s">
        <v>700</v>
      </c>
      <c r="B422" s="821"/>
      <c r="C422" s="821"/>
      <c r="D422" s="821"/>
      <c r="E422" s="821"/>
      <c r="F422" s="821"/>
      <c r="G422" s="821"/>
      <c r="H422" s="821"/>
      <c r="I422" s="821"/>
      <c r="J422" s="821"/>
      <c r="K422" s="821"/>
      <c r="L422" s="821"/>
      <c r="M422" s="822"/>
    </row>
    <row r="423" spans="1:13">
      <c r="A423" s="373" t="s">
        <v>542</v>
      </c>
      <c r="B423" s="374">
        <f>C423+D423+E423</f>
        <v>70</v>
      </c>
      <c r="C423" s="375"/>
      <c r="D423" s="375"/>
      <c r="E423" s="375">
        <v>70</v>
      </c>
      <c r="F423" s="376"/>
      <c r="G423" s="382"/>
      <c r="H423" s="377"/>
      <c r="I423" s="377"/>
      <c r="J423" s="378"/>
      <c r="K423" s="379"/>
      <c r="L423" s="380"/>
      <c r="M423" s="381"/>
    </row>
    <row r="424" spans="1:13">
      <c r="A424" s="373"/>
      <c r="B424" s="374"/>
      <c r="C424" s="375"/>
      <c r="D424" s="375"/>
      <c r="E424" s="375"/>
      <c r="F424" s="376"/>
      <c r="G424" s="382"/>
      <c r="H424" s="377"/>
      <c r="I424" s="377"/>
      <c r="J424" s="383"/>
      <c r="K424" s="384"/>
      <c r="L424" s="380"/>
      <c r="M424" s="381"/>
    </row>
    <row r="425" spans="1:13" ht="32.25" thickBot="1">
      <c r="A425" s="385" t="s">
        <v>545</v>
      </c>
      <c r="B425" s="374">
        <f>C425+D425+E425+F425</f>
        <v>60</v>
      </c>
      <c r="C425" s="387"/>
      <c r="D425" s="387"/>
      <c r="E425" s="387">
        <v>60</v>
      </c>
      <c r="F425" s="410"/>
      <c r="G425" s="459"/>
      <c r="H425" s="388">
        <f>((100*E425)/E423)-100</f>
        <v>-14.285714285714292</v>
      </c>
      <c r="I425" s="388">
        <f>((100*B425)/B423)-100</f>
        <v>-14.285714285714292</v>
      </c>
      <c r="J425" s="389"/>
      <c r="K425" s="407"/>
      <c r="L425" s="391"/>
      <c r="M425" s="392"/>
    </row>
    <row r="426" spans="1:13" ht="24.75" customHeight="1" thickBot="1">
      <c r="A426" s="811" t="s">
        <v>701</v>
      </c>
      <c r="B426" s="812"/>
      <c r="C426" s="812"/>
      <c r="D426" s="812"/>
      <c r="E426" s="812"/>
      <c r="F426" s="812"/>
      <c r="G426" s="812"/>
      <c r="H426" s="812"/>
      <c r="I426" s="812"/>
      <c r="J426" s="812"/>
      <c r="K426" s="812"/>
      <c r="L426" s="812"/>
      <c r="M426" s="813"/>
    </row>
    <row r="427" spans="1:13">
      <c r="A427" s="463" t="s">
        <v>542</v>
      </c>
      <c r="B427" s="890">
        <f t="shared" ref="B427:D427" si="14">B423+B419+B415+B411+B407+B398+B394+B389+B384+B379+B375+B366+B360+B353+B403</f>
        <v>3879.1000000000004</v>
      </c>
      <c r="C427" s="464">
        <f t="shared" si="14"/>
        <v>2806.8999999999996</v>
      </c>
      <c r="D427" s="464">
        <f t="shared" si="14"/>
        <v>40.700000000000003</v>
      </c>
      <c r="E427" s="464">
        <f>E423+E419+E415+E411+E407+E398+E394+E389+E384+E379+E375+E366+E360+E353+E403</f>
        <v>1031.5</v>
      </c>
      <c r="F427" s="464"/>
      <c r="G427" s="549"/>
      <c r="H427" s="550"/>
      <c r="I427" s="550"/>
      <c r="J427" s="551"/>
      <c r="K427" s="552"/>
      <c r="L427" s="553"/>
      <c r="M427" s="554"/>
    </row>
    <row r="428" spans="1:13">
      <c r="A428" s="475"/>
      <c r="B428" s="486"/>
      <c r="C428" s="487"/>
      <c r="D428" s="487"/>
      <c r="E428" s="433"/>
      <c r="F428" s="433"/>
      <c r="G428" s="487"/>
      <c r="H428" s="535"/>
      <c r="I428" s="535"/>
      <c r="J428" s="524"/>
      <c r="K428" s="525"/>
      <c r="L428" s="525"/>
      <c r="M428" s="526"/>
    </row>
    <row r="429" spans="1:13" ht="32.25" thickBot="1">
      <c r="A429" s="465" t="s">
        <v>545</v>
      </c>
      <c r="B429" s="466">
        <f t="shared" ref="B429:D429" si="15">B425+B421+B417+B413+B409+B400+B396+B391+B386+B381+B377+B370+B362+B355+B405</f>
        <v>4311.0999999999995</v>
      </c>
      <c r="C429" s="467">
        <f t="shared" si="15"/>
        <v>3095.6000000000004</v>
      </c>
      <c r="D429" s="467">
        <f t="shared" si="15"/>
        <v>44.9</v>
      </c>
      <c r="E429" s="467">
        <f>E425+E421+E417+E413+E409+E400+E396+E391+E386+E381+E377+E370+E362+E355+E405</f>
        <v>1157</v>
      </c>
      <c r="F429" s="467">
        <f>F425+F421+F417+F413+F409+F400+F396+F391+F386+F381+F377+F370+F362+F355+F405</f>
        <v>13.600000000000001</v>
      </c>
      <c r="G429" s="467">
        <f>C429/C427*100-100</f>
        <v>10.285368199793396</v>
      </c>
      <c r="H429" s="467">
        <f>((100*E429)/E427)-100</f>
        <v>12.16674745516238</v>
      </c>
      <c r="I429" s="467">
        <f>((100*B429)/B427)-100</f>
        <v>11.136603851408807</v>
      </c>
      <c r="J429" s="528"/>
      <c r="K429" s="529"/>
      <c r="L429" s="529"/>
      <c r="M429" s="530"/>
    </row>
    <row r="430" spans="1:13" ht="18.75" customHeight="1">
      <c r="A430" s="823" t="s">
        <v>702</v>
      </c>
      <c r="B430" s="824"/>
      <c r="C430" s="824"/>
      <c r="D430" s="824"/>
      <c r="E430" s="824"/>
      <c r="F430" s="824"/>
      <c r="G430" s="824"/>
      <c r="H430" s="824"/>
      <c r="I430" s="824"/>
      <c r="J430" s="824"/>
      <c r="K430" s="824"/>
      <c r="L430" s="824"/>
      <c r="M430" s="825"/>
    </row>
    <row r="431" spans="1:13" ht="11.25" customHeight="1">
      <c r="A431" s="683"/>
      <c r="B431" s="537"/>
      <c r="C431" s="538"/>
      <c r="D431" s="538"/>
      <c r="E431" s="538"/>
      <c r="F431" s="538"/>
      <c r="G431" s="538"/>
      <c r="H431" s="826"/>
      <c r="I431" s="826"/>
      <c r="J431" s="826"/>
      <c r="K431" s="826"/>
      <c r="L431" s="826"/>
      <c r="M431" s="555"/>
    </row>
    <row r="432" spans="1:13">
      <c r="A432" s="817" t="s">
        <v>703</v>
      </c>
      <c r="B432" s="818"/>
      <c r="C432" s="818"/>
      <c r="D432" s="818"/>
      <c r="E432" s="818"/>
      <c r="F432" s="818"/>
      <c r="G432" s="818"/>
      <c r="H432" s="818"/>
      <c r="I432" s="818"/>
      <c r="J432" s="818"/>
      <c r="K432" s="818"/>
      <c r="L432" s="818"/>
      <c r="M432" s="819"/>
    </row>
    <row r="433" spans="1:13">
      <c r="A433" s="373" t="s">
        <v>542</v>
      </c>
      <c r="B433" s="374">
        <f>C433+D433+E433</f>
        <v>1075</v>
      </c>
      <c r="C433" s="375"/>
      <c r="D433" s="375"/>
      <c r="E433" s="375">
        <v>1075</v>
      </c>
      <c r="F433" s="376"/>
      <c r="G433" s="382"/>
      <c r="H433" s="377"/>
      <c r="I433" s="377"/>
      <c r="J433" s="378">
        <v>80</v>
      </c>
      <c r="K433" s="379" t="s">
        <v>704</v>
      </c>
      <c r="L433" s="380"/>
      <c r="M433" s="381"/>
    </row>
    <row r="434" spans="1:13">
      <c r="A434" s="373"/>
      <c r="B434" s="415"/>
      <c r="C434" s="376"/>
      <c r="D434" s="376"/>
      <c r="E434" s="376"/>
      <c r="F434" s="376"/>
      <c r="G434" s="382"/>
      <c r="H434" s="377"/>
      <c r="I434" s="377"/>
      <c r="J434" s="556">
        <v>30</v>
      </c>
      <c r="K434" s="557" t="s">
        <v>705</v>
      </c>
      <c r="L434" s="380"/>
      <c r="M434" s="381"/>
    </row>
    <row r="435" spans="1:13">
      <c r="A435" s="373"/>
      <c r="B435" s="415"/>
      <c r="C435" s="376"/>
      <c r="D435" s="376"/>
      <c r="E435" s="376"/>
      <c r="F435" s="376"/>
      <c r="G435" s="382"/>
      <c r="H435" s="377"/>
      <c r="I435" s="377"/>
      <c r="J435" s="556">
        <v>7</v>
      </c>
      <c r="K435" s="558" t="s">
        <v>706</v>
      </c>
      <c r="L435" s="380"/>
      <c r="M435" s="381"/>
    </row>
    <row r="436" spans="1:13" ht="31.5">
      <c r="A436" s="413" t="s">
        <v>545</v>
      </c>
      <c r="B436" s="415">
        <f>C436+D436+E436+F436</f>
        <v>1157.2</v>
      </c>
      <c r="C436" s="376"/>
      <c r="D436" s="376"/>
      <c r="E436" s="376">
        <v>1128.2</v>
      </c>
      <c r="F436" s="375">
        <v>29</v>
      </c>
      <c r="G436" s="382"/>
      <c r="H436" s="414">
        <f>((100*E436)/E433)-100</f>
        <v>4.9488372093023258</v>
      </c>
      <c r="I436" s="414">
        <f>((100*B436)/B433)-100</f>
        <v>7.6465116279069747</v>
      </c>
      <c r="J436" s="378">
        <v>80</v>
      </c>
      <c r="K436" s="384" t="s">
        <v>704</v>
      </c>
      <c r="L436" s="380"/>
      <c r="M436" s="381"/>
    </row>
    <row r="437" spans="1:13">
      <c r="A437" s="413"/>
      <c r="B437" s="415"/>
      <c r="C437" s="376"/>
      <c r="D437" s="376"/>
      <c r="E437" s="376"/>
      <c r="F437" s="376"/>
      <c r="G437" s="382"/>
      <c r="H437" s="377"/>
      <c r="I437" s="377"/>
      <c r="J437" s="454">
        <v>43.3</v>
      </c>
      <c r="K437" s="384" t="s">
        <v>707</v>
      </c>
      <c r="L437" s="380"/>
      <c r="M437" s="381"/>
    </row>
    <row r="438" spans="1:13">
      <c r="A438" s="413"/>
      <c r="B438" s="415"/>
      <c r="C438" s="376"/>
      <c r="D438" s="376"/>
      <c r="E438" s="376"/>
      <c r="F438" s="376"/>
      <c r="G438" s="382"/>
      <c r="H438" s="377"/>
      <c r="I438" s="377"/>
      <c r="J438" s="378">
        <v>26.2</v>
      </c>
      <c r="K438" s="384" t="s">
        <v>708</v>
      </c>
      <c r="L438" s="380"/>
      <c r="M438" s="381"/>
    </row>
    <row r="439" spans="1:13">
      <c r="A439" s="413"/>
      <c r="B439" s="415"/>
      <c r="C439" s="376"/>
      <c r="D439" s="376"/>
      <c r="E439" s="376"/>
      <c r="F439" s="376"/>
      <c r="G439" s="382"/>
      <c r="H439" s="377"/>
      <c r="I439" s="377"/>
      <c r="J439" s="378">
        <v>8</v>
      </c>
      <c r="K439" s="559" t="s">
        <v>709</v>
      </c>
      <c r="L439" s="380"/>
      <c r="M439" s="381"/>
    </row>
    <row r="440" spans="1:13" ht="16.5" thickBot="1">
      <c r="A440" s="560"/>
      <c r="B440" s="561"/>
      <c r="C440" s="562"/>
      <c r="D440" s="562"/>
      <c r="E440" s="562"/>
      <c r="F440" s="562"/>
      <c r="G440" s="490"/>
      <c r="H440" s="563"/>
      <c r="I440" s="563"/>
      <c r="J440" s="541">
        <v>5.5</v>
      </c>
      <c r="K440" s="514" t="s">
        <v>671</v>
      </c>
      <c r="L440" s="448"/>
      <c r="M440" s="564"/>
    </row>
    <row r="441" spans="1:13">
      <c r="A441" s="828" t="s">
        <v>710</v>
      </c>
      <c r="B441" s="829"/>
      <c r="C441" s="829"/>
      <c r="D441" s="829"/>
      <c r="E441" s="829"/>
      <c r="F441" s="829"/>
      <c r="G441" s="829"/>
      <c r="H441" s="829"/>
      <c r="I441" s="829"/>
      <c r="J441" s="829"/>
      <c r="K441" s="829"/>
      <c r="L441" s="829"/>
      <c r="M441" s="830"/>
    </row>
    <row r="442" spans="1:13" ht="31.5">
      <c r="A442" s="565" t="s">
        <v>542</v>
      </c>
      <c r="B442" s="566">
        <f>C442+D442+E442</f>
        <v>48.3</v>
      </c>
      <c r="C442" s="545"/>
      <c r="D442" s="545"/>
      <c r="E442" s="545">
        <v>48.3</v>
      </c>
      <c r="F442" s="545"/>
      <c r="G442" s="487"/>
      <c r="H442" s="535"/>
      <c r="I442" s="535"/>
      <c r="J442" s="454">
        <v>4</v>
      </c>
      <c r="K442" s="567" t="s">
        <v>711</v>
      </c>
      <c r="L442" s="568"/>
      <c r="M442" s="569"/>
    </row>
    <row r="443" spans="1:13">
      <c r="A443" s="565"/>
      <c r="B443" s="566"/>
      <c r="C443" s="545"/>
      <c r="D443" s="545"/>
      <c r="E443" s="545"/>
      <c r="F443" s="545"/>
      <c r="G443" s="487"/>
      <c r="H443" s="535"/>
      <c r="I443" s="535"/>
      <c r="J443" s="454"/>
      <c r="K443" s="559"/>
      <c r="L443" s="568"/>
      <c r="M443" s="569"/>
    </row>
    <row r="444" spans="1:13" ht="32.25" thickBot="1">
      <c r="A444" s="560" t="s">
        <v>545</v>
      </c>
      <c r="B444" s="394">
        <f>C444+D444+E444+F444</f>
        <v>45.9</v>
      </c>
      <c r="C444" s="562"/>
      <c r="D444" s="562"/>
      <c r="E444" s="562">
        <v>45.9</v>
      </c>
      <c r="F444" s="562"/>
      <c r="G444" s="490"/>
      <c r="H444" s="467">
        <f>((100*E444)/E442)-100</f>
        <v>-4.9689440993788736</v>
      </c>
      <c r="I444" s="467">
        <f>((100*B444)/B442)-100</f>
        <v>-4.9689440993788736</v>
      </c>
      <c r="J444" s="541">
        <v>2</v>
      </c>
      <c r="K444" s="514" t="s">
        <v>671</v>
      </c>
      <c r="L444" s="448">
        <v>1.8</v>
      </c>
      <c r="M444" s="564" t="s">
        <v>712</v>
      </c>
    </row>
    <row r="445" spans="1:13">
      <c r="A445" s="828" t="s">
        <v>713</v>
      </c>
      <c r="B445" s="829"/>
      <c r="C445" s="829"/>
      <c r="D445" s="829"/>
      <c r="E445" s="829"/>
      <c r="F445" s="829"/>
      <c r="G445" s="829"/>
      <c r="H445" s="829"/>
      <c r="I445" s="829"/>
      <c r="J445" s="829"/>
      <c r="K445" s="829"/>
      <c r="L445" s="829"/>
      <c r="M445" s="830"/>
    </row>
    <row r="446" spans="1:13">
      <c r="A446" s="565" t="s">
        <v>542</v>
      </c>
      <c r="B446" s="566">
        <f>C446+D446+E446</f>
        <v>38.200000000000003</v>
      </c>
      <c r="C446" s="545"/>
      <c r="D446" s="545"/>
      <c r="E446" s="545">
        <v>38.200000000000003</v>
      </c>
      <c r="F446" s="545"/>
      <c r="G446" s="487"/>
      <c r="H446" s="535"/>
      <c r="I446" s="535"/>
      <c r="J446" s="454">
        <v>1</v>
      </c>
      <c r="K446" s="559" t="s">
        <v>714</v>
      </c>
      <c r="L446" s="568"/>
      <c r="M446" s="569"/>
    </row>
    <row r="447" spans="1:13">
      <c r="A447" s="565"/>
      <c r="B447" s="566"/>
      <c r="C447" s="545"/>
      <c r="D447" s="545"/>
      <c r="E447" s="545"/>
      <c r="F447" s="545"/>
      <c r="G447" s="487"/>
      <c r="H447" s="535"/>
      <c r="I447" s="535"/>
      <c r="J447" s="570"/>
      <c r="K447" s="559"/>
      <c r="L447" s="568"/>
      <c r="M447" s="569"/>
    </row>
    <row r="448" spans="1:13" ht="30" customHeight="1">
      <c r="A448" s="571" t="s">
        <v>545</v>
      </c>
      <c r="B448" s="415">
        <f>C448+D448+E448+F448</f>
        <v>44.9</v>
      </c>
      <c r="C448" s="545"/>
      <c r="D448" s="545"/>
      <c r="E448" s="545">
        <v>43.6</v>
      </c>
      <c r="F448" s="545">
        <v>1.3</v>
      </c>
      <c r="G448" s="487"/>
      <c r="H448" s="433">
        <f>((100*E448)/E446)-100</f>
        <v>14.136125654450254</v>
      </c>
      <c r="I448" s="433">
        <f>((100*B448)/B446)-100</f>
        <v>17.539267015706798</v>
      </c>
      <c r="J448" s="570">
        <v>4.7</v>
      </c>
      <c r="K448" s="559" t="s">
        <v>709</v>
      </c>
      <c r="L448" s="568"/>
      <c r="M448" s="569"/>
    </row>
    <row r="449" spans="1:13" ht="18.75" customHeight="1" thickBot="1">
      <c r="A449" s="560"/>
      <c r="B449" s="561"/>
      <c r="C449" s="562"/>
      <c r="D449" s="562"/>
      <c r="E449" s="562"/>
      <c r="F449" s="562"/>
      <c r="G449" s="490"/>
      <c r="H449" s="563"/>
      <c r="I449" s="563"/>
      <c r="J449" s="541">
        <v>2</v>
      </c>
      <c r="K449" s="514" t="s">
        <v>671</v>
      </c>
      <c r="L449" s="448"/>
      <c r="M449" s="564"/>
    </row>
    <row r="450" spans="1:13">
      <c r="A450" s="828" t="s">
        <v>715</v>
      </c>
      <c r="B450" s="829"/>
      <c r="C450" s="829"/>
      <c r="D450" s="829"/>
      <c r="E450" s="829"/>
      <c r="F450" s="829"/>
      <c r="G450" s="829"/>
      <c r="H450" s="829"/>
      <c r="I450" s="829"/>
      <c r="J450" s="829"/>
      <c r="K450" s="829"/>
      <c r="L450" s="829"/>
      <c r="M450" s="830"/>
    </row>
    <row r="451" spans="1:13">
      <c r="A451" s="565" t="s">
        <v>542</v>
      </c>
      <c r="B451" s="566">
        <f>C451+D451+E451</f>
        <v>44.4</v>
      </c>
      <c r="C451" s="545"/>
      <c r="D451" s="545"/>
      <c r="E451" s="545">
        <v>44.4</v>
      </c>
      <c r="F451" s="545"/>
      <c r="G451" s="487"/>
      <c r="H451" s="535"/>
      <c r="I451" s="535"/>
      <c r="J451" s="454">
        <v>2.5</v>
      </c>
      <c r="K451" s="559" t="s">
        <v>716</v>
      </c>
      <c r="L451" s="568"/>
      <c r="M451" s="569"/>
    </row>
    <row r="452" spans="1:13">
      <c r="A452" s="565"/>
      <c r="B452" s="566"/>
      <c r="C452" s="545"/>
      <c r="D452" s="545"/>
      <c r="E452" s="545"/>
      <c r="F452" s="545"/>
      <c r="G452" s="487"/>
      <c r="H452" s="535"/>
      <c r="I452" s="535"/>
      <c r="J452" s="570"/>
      <c r="K452" s="559"/>
      <c r="L452" s="568"/>
      <c r="M452" s="569"/>
    </row>
    <row r="453" spans="1:13" ht="31.5">
      <c r="A453" s="571" t="s">
        <v>545</v>
      </c>
      <c r="B453" s="415">
        <f>C453+D453+E453+F453</f>
        <v>46.8</v>
      </c>
      <c r="C453" s="545"/>
      <c r="D453" s="545"/>
      <c r="E453" s="545">
        <v>46.8</v>
      </c>
      <c r="F453" s="545"/>
      <c r="G453" s="487"/>
      <c r="H453" s="433">
        <f>((100*E453)/E451)-100</f>
        <v>5.4054054054054035</v>
      </c>
      <c r="I453" s="433">
        <f>((100*B453)/B451)-100</f>
        <v>5.4054054054054035</v>
      </c>
      <c r="J453" s="454">
        <v>1</v>
      </c>
      <c r="K453" s="572" t="s">
        <v>717</v>
      </c>
      <c r="L453" s="568"/>
      <c r="M453" s="569"/>
    </row>
    <row r="454" spans="1:13" ht="16.5" thickBot="1">
      <c r="A454" s="560"/>
      <c r="B454" s="561"/>
      <c r="C454" s="562"/>
      <c r="D454" s="562"/>
      <c r="E454" s="562"/>
      <c r="F454" s="562"/>
      <c r="G454" s="490"/>
      <c r="H454" s="563"/>
      <c r="I454" s="563"/>
      <c r="J454" s="541">
        <v>2</v>
      </c>
      <c r="K454" s="514" t="s">
        <v>671</v>
      </c>
      <c r="L454" s="448"/>
      <c r="M454" s="564"/>
    </row>
    <row r="455" spans="1:13">
      <c r="A455" s="828" t="s">
        <v>718</v>
      </c>
      <c r="B455" s="829"/>
      <c r="C455" s="829"/>
      <c r="D455" s="829"/>
      <c r="E455" s="829"/>
      <c r="F455" s="829"/>
      <c r="G455" s="829"/>
      <c r="H455" s="829"/>
      <c r="I455" s="829"/>
      <c r="J455" s="829"/>
      <c r="K455" s="829"/>
      <c r="L455" s="829"/>
      <c r="M455" s="830"/>
    </row>
    <row r="456" spans="1:13">
      <c r="A456" s="565" t="s">
        <v>542</v>
      </c>
      <c r="B456" s="566">
        <f>C456+D456+E456</f>
        <v>57.1</v>
      </c>
      <c r="C456" s="545"/>
      <c r="D456" s="545"/>
      <c r="E456" s="545">
        <v>57.1</v>
      </c>
      <c r="F456" s="545"/>
      <c r="G456" s="487"/>
      <c r="H456" s="535"/>
      <c r="I456" s="535"/>
      <c r="J456" s="454">
        <v>2</v>
      </c>
      <c r="K456" s="573" t="s">
        <v>719</v>
      </c>
      <c r="L456" s="568"/>
      <c r="M456" s="569"/>
    </row>
    <row r="457" spans="1:13">
      <c r="A457" s="565"/>
      <c r="B457" s="566"/>
      <c r="C457" s="545"/>
      <c r="D457" s="545"/>
      <c r="E457" s="545"/>
      <c r="F457" s="545"/>
      <c r="G457" s="487"/>
      <c r="H457" s="535"/>
      <c r="I457" s="535"/>
      <c r="J457" s="570"/>
      <c r="K457" s="573"/>
      <c r="L457" s="568"/>
      <c r="M457" s="569"/>
    </row>
    <row r="458" spans="1:13" ht="32.25" thickBot="1">
      <c r="A458" s="560" t="s">
        <v>545</v>
      </c>
      <c r="B458" s="394">
        <f>C458+D458+E458+F458</f>
        <v>56.8</v>
      </c>
      <c r="C458" s="562"/>
      <c r="D458" s="562"/>
      <c r="E458" s="562">
        <v>56.8</v>
      </c>
      <c r="F458" s="562"/>
      <c r="G458" s="490"/>
      <c r="H458" s="467">
        <f>((100*E458)/E456)-100</f>
        <v>-0.52539404553415636</v>
      </c>
      <c r="I458" s="467">
        <f>((100*B458)/B456)-100</f>
        <v>-0.52539404553415636</v>
      </c>
      <c r="J458" s="541">
        <v>2</v>
      </c>
      <c r="K458" s="514" t="s">
        <v>671</v>
      </c>
      <c r="L458" s="448">
        <v>2.1</v>
      </c>
      <c r="M458" s="564" t="s">
        <v>712</v>
      </c>
    </row>
    <row r="459" spans="1:13">
      <c r="A459" s="828" t="s">
        <v>720</v>
      </c>
      <c r="B459" s="829"/>
      <c r="C459" s="829"/>
      <c r="D459" s="829"/>
      <c r="E459" s="829"/>
      <c r="F459" s="829"/>
      <c r="G459" s="829"/>
      <c r="H459" s="829"/>
      <c r="I459" s="829"/>
      <c r="J459" s="829"/>
      <c r="K459" s="829"/>
      <c r="L459" s="829"/>
      <c r="M459" s="830"/>
    </row>
    <row r="460" spans="1:13">
      <c r="A460" s="565" t="s">
        <v>542</v>
      </c>
      <c r="B460" s="566">
        <f>C460+D460+E460</f>
        <v>79.8</v>
      </c>
      <c r="C460" s="545"/>
      <c r="D460" s="545"/>
      <c r="E460" s="545">
        <v>79.8</v>
      </c>
      <c r="F460" s="545"/>
      <c r="G460" s="487"/>
      <c r="H460" s="535"/>
      <c r="I460" s="535"/>
      <c r="J460" s="454"/>
      <c r="K460" s="574" t="s">
        <v>721</v>
      </c>
      <c r="L460" s="568"/>
      <c r="M460" s="569"/>
    </row>
    <row r="461" spans="1:13">
      <c r="A461" s="565"/>
      <c r="B461" s="566"/>
      <c r="C461" s="545"/>
      <c r="D461" s="545"/>
      <c r="E461" s="545"/>
      <c r="F461" s="545"/>
      <c r="G461" s="487"/>
      <c r="H461" s="535"/>
      <c r="I461" s="535"/>
      <c r="J461" s="570"/>
      <c r="K461" s="572" t="s">
        <v>722</v>
      </c>
      <c r="L461" s="568"/>
      <c r="M461" s="569"/>
    </row>
    <row r="462" spans="1:13">
      <c r="A462" s="565"/>
      <c r="B462" s="566"/>
      <c r="C462" s="545"/>
      <c r="D462" s="545"/>
      <c r="E462" s="545"/>
      <c r="F462" s="545"/>
      <c r="G462" s="487"/>
      <c r="H462" s="535"/>
      <c r="I462" s="535"/>
      <c r="J462" s="570"/>
      <c r="K462" s="567"/>
      <c r="L462" s="568"/>
      <c r="M462" s="569"/>
    </row>
    <row r="463" spans="1:13" ht="31.5">
      <c r="A463" s="571" t="s">
        <v>545</v>
      </c>
      <c r="B463" s="415">
        <f>C463+D463+E463+F463</f>
        <v>69.099999999999994</v>
      </c>
      <c r="C463" s="545"/>
      <c r="D463" s="545"/>
      <c r="E463" s="545">
        <v>67.8</v>
      </c>
      <c r="F463" s="545">
        <v>1.3</v>
      </c>
      <c r="G463" s="487"/>
      <c r="H463" s="433">
        <f>((100*E463)/E460)-100</f>
        <v>-15.037593984962399</v>
      </c>
      <c r="I463" s="433">
        <f>((100*B463)/B460)-100</f>
        <v>-13.408521303258155</v>
      </c>
      <c r="J463" s="454">
        <v>2</v>
      </c>
      <c r="K463" s="572" t="s">
        <v>671</v>
      </c>
      <c r="L463" s="568">
        <v>1.4</v>
      </c>
      <c r="M463" s="569" t="s">
        <v>712</v>
      </c>
    </row>
    <row r="464" spans="1:13" ht="16.5" thickBot="1">
      <c r="A464" s="560"/>
      <c r="B464" s="561"/>
      <c r="C464" s="562"/>
      <c r="D464" s="562"/>
      <c r="E464" s="562"/>
      <c r="F464" s="562"/>
      <c r="G464" s="490"/>
      <c r="H464" s="563"/>
      <c r="I464" s="563"/>
      <c r="J464" s="455">
        <v>7.7</v>
      </c>
      <c r="K464" s="514" t="s">
        <v>709</v>
      </c>
      <c r="L464" s="448"/>
      <c r="M464" s="564"/>
    </row>
    <row r="465" spans="1:13">
      <c r="A465" s="828" t="s">
        <v>723</v>
      </c>
      <c r="B465" s="829"/>
      <c r="C465" s="829"/>
      <c r="D465" s="829"/>
      <c r="E465" s="829"/>
      <c r="F465" s="829"/>
      <c r="G465" s="829"/>
      <c r="H465" s="829"/>
      <c r="I465" s="829"/>
      <c r="J465" s="829"/>
      <c r="K465" s="829"/>
      <c r="L465" s="829"/>
      <c r="M465" s="830"/>
    </row>
    <row r="466" spans="1:13">
      <c r="A466" s="565" t="s">
        <v>542</v>
      </c>
      <c r="B466" s="566">
        <f>C466+D466+E466</f>
        <v>54.1</v>
      </c>
      <c r="C466" s="545"/>
      <c r="D466" s="545"/>
      <c r="E466" s="545">
        <v>54.1</v>
      </c>
      <c r="F466" s="545"/>
      <c r="G466" s="487"/>
      <c r="H466" s="535"/>
      <c r="I466" s="535"/>
      <c r="J466" s="454">
        <v>7.7</v>
      </c>
      <c r="K466" s="572" t="s">
        <v>724</v>
      </c>
      <c r="L466" s="568"/>
      <c r="M466" s="569"/>
    </row>
    <row r="467" spans="1:13">
      <c r="A467" s="565"/>
      <c r="B467" s="566"/>
      <c r="C467" s="545"/>
      <c r="D467" s="545"/>
      <c r="E467" s="545"/>
      <c r="F467" s="545"/>
      <c r="G467" s="487"/>
      <c r="H467" s="535"/>
      <c r="I467" s="535"/>
      <c r="J467" s="454">
        <v>2</v>
      </c>
      <c r="K467" s="559" t="s">
        <v>725</v>
      </c>
      <c r="L467" s="568"/>
      <c r="M467" s="569"/>
    </row>
    <row r="468" spans="1:13">
      <c r="A468" s="565"/>
      <c r="B468" s="566"/>
      <c r="C468" s="545"/>
      <c r="D468" s="545"/>
      <c r="E468" s="545"/>
      <c r="F468" s="545"/>
      <c r="G468" s="487"/>
      <c r="H468" s="535"/>
      <c r="I468" s="535"/>
      <c r="J468" s="454">
        <v>2</v>
      </c>
      <c r="K468" s="559" t="s">
        <v>726</v>
      </c>
      <c r="L468" s="568"/>
      <c r="M468" s="569"/>
    </row>
    <row r="469" spans="1:13">
      <c r="A469" s="565"/>
      <c r="B469" s="566"/>
      <c r="C469" s="545"/>
      <c r="D469" s="545"/>
      <c r="E469" s="545"/>
      <c r="F469" s="545"/>
      <c r="G469" s="487"/>
      <c r="H469" s="535"/>
      <c r="I469" s="535"/>
      <c r="J469" s="570"/>
      <c r="K469" s="574"/>
      <c r="L469" s="568"/>
      <c r="M469" s="569"/>
    </row>
    <row r="470" spans="1:13" ht="31.5">
      <c r="A470" s="571" t="s">
        <v>545</v>
      </c>
      <c r="B470" s="415">
        <f>C470+D470+E470+F470</f>
        <v>56.2</v>
      </c>
      <c r="C470" s="545"/>
      <c r="D470" s="545"/>
      <c r="E470" s="545">
        <v>56.2</v>
      </c>
      <c r="F470" s="545"/>
      <c r="G470" s="487"/>
      <c r="H470" s="433">
        <f>((100*E470)/E466)-100</f>
        <v>3.8817005545286491</v>
      </c>
      <c r="I470" s="433">
        <f>((100*B470)/B466)-100</f>
        <v>3.8817005545286491</v>
      </c>
      <c r="J470" s="570">
        <v>2.4</v>
      </c>
      <c r="K470" s="572" t="s">
        <v>708</v>
      </c>
      <c r="L470" s="568"/>
      <c r="M470" s="569"/>
    </row>
    <row r="471" spans="1:13">
      <c r="A471" s="571"/>
      <c r="B471" s="566"/>
      <c r="C471" s="545"/>
      <c r="D471" s="545"/>
      <c r="E471" s="545"/>
      <c r="F471" s="545"/>
      <c r="G471" s="487"/>
      <c r="H471" s="535"/>
      <c r="I471" s="535"/>
      <c r="J471" s="454">
        <v>7</v>
      </c>
      <c r="K471" s="572" t="s">
        <v>727</v>
      </c>
      <c r="L471" s="568"/>
      <c r="M471" s="569"/>
    </row>
    <row r="472" spans="1:13" ht="16.5" thickBot="1">
      <c r="A472" s="560"/>
      <c r="B472" s="561"/>
      <c r="C472" s="562"/>
      <c r="D472" s="562"/>
      <c r="E472" s="562"/>
      <c r="F472" s="562"/>
      <c r="G472" s="490"/>
      <c r="H472" s="563"/>
      <c r="I472" s="563"/>
      <c r="J472" s="455">
        <v>2.2999999999999998</v>
      </c>
      <c r="K472" s="514" t="s">
        <v>717</v>
      </c>
      <c r="L472" s="448"/>
      <c r="M472" s="564"/>
    </row>
    <row r="473" spans="1:13">
      <c r="A473" s="828" t="s">
        <v>728</v>
      </c>
      <c r="B473" s="829"/>
      <c r="C473" s="829"/>
      <c r="D473" s="829"/>
      <c r="E473" s="829"/>
      <c r="F473" s="829"/>
      <c r="G473" s="829"/>
      <c r="H473" s="829"/>
      <c r="I473" s="829"/>
      <c r="J473" s="829"/>
      <c r="K473" s="829"/>
      <c r="L473" s="829"/>
      <c r="M473" s="830"/>
    </row>
    <row r="474" spans="1:13">
      <c r="A474" s="565" t="s">
        <v>542</v>
      </c>
      <c r="B474" s="566">
        <f>C474+D474+E474</f>
        <v>73.5</v>
      </c>
      <c r="C474" s="545"/>
      <c r="D474" s="545"/>
      <c r="E474" s="545">
        <v>73.5</v>
      </c>
      <c r="F474" s="545"/>
      <c r="G474" s="487"/>
      <c r="H474" s="535"/>
      <c r="I474" s="535"/>
      <c r="J474" s="454">
        <v>32</v>
      </c>
      <c r="K474" s="575" t="s">
        <v>729</v>
      </c>
      <c r="L474" s="568"/>
      <c r="M474" s="569"/>
    </row>
    <row r="475" spans="1:13">
      <c r="A475" s="565"/>
      <c r="B475" s="566"/>
      <c r="C475" s="545"/>
      <c r="D475" s="545"/>
      <c r="E475" s="545"/>
      <c r="F475" s="545"/>
      <c r="G475" s="487"/>
      <c r="H475" s="535"/>
      <c r="I475" s="535"/>
      <c r="J475" s="570"/>
      <c r="K475" s="574"/>
      <c r="L475" s="568"/>
      <c r="M475" s="569"/>
    </row>
    <row r="476" spans="1:13" ht="31.5">
      <c r="A476" s="571" t="s">
        <v>545</v>
      </c>
      <c r="B476" s="415">
        <f>C476+D476+E476+F476</f>
        <v>55.9</v>
      </c>
      <c r="C476" s="545"/>
      <c r="D476" s="545"/>
      <c r="E476" s="545">
        <v>55.9</v>
      </c>
      <c r="F476" s="545"/>
      <c r="G476" s="487"/>
      <c r="H476" s="433">
        <f>((100*E476)/E474)-100</f>
        <v>-23.945578231292515</v>
      </c>
      <c r="I476" s="433">
        <f>((100*B476)/B474)-100</f>
        <v>-23.945578231292515</v>
      </c>
      <c r="J476" s="570">
        <v>5.4</v>
      </c>
      <c r="K476" s="576" t="s">
        <v>708</v>
      </c>
      <c r="L476" s="568"/>
      <c r="M476" s="569"/>
    </row>
    <row r="477" spans="1:13" ht="16.5" thickBot="1">
      <c r="A477" s="560"/>
      <c r="B477" s="561"/>
      <c r="C477" s="562"/>
      <c r="D477" s="562"/>
      <c r="E477" s="562"/>
      <c r="F477" s="562"/>
      <c r="G477" s="490"/>
      <c r="H477" s="563"/>
      <c r="I477" s="563"/>
      <c r="J477" s="541">
        <v>2</v>
      </c>
      <c r="K477" s="514" t="s">
        <v>671</v>
      </c>
      <c r="L477" s="448"/>
      <c r="M477" s="564"/>
    </row>
    <row r="478" spans="1:13">
      <c r="A478" s="828" t="s">
        <v>730</v>
      </c>
      <c r="B478" s="829"/>
      <c r="C478" s="829"/>
      <c r="D478" s="829"/>
      <c r="E478" s="829"/>
      <c r="F478" s="829"/>
      <c r="G478" s="829"/>
      <c r="H478" s="829"/>
      <c r="I478" s="829"/>
      <c r="J478" s="829"/>
      <c r="K478" s="829"/>
      <c r="L478" s="829"/>
      <c r="M478" s="830"/>
    </row>
    <row r="479" spans="1:13">
      <c r="A479" s="565" t="s">
        <v>542</v>
      </c>
      <c r="B479" s="566">
        <f>C479+D479+E479</f>
        <v>42.4</v>
      </c>
      <c r="C479" s="545"/>
      <c r="D479" s="545"/>
      <c r="E479" s="545">
        <v>42.4</v>
      </c>
      <c r="F479" s="545"/>
      <c r="G479" s="487"/>
      <c r="H479" s="535"/>
      <c r="I479" s="535"/>
      <c r="J479" s="454">
        <v>0.5</v>
      </c>
      <c r="K479" s="559" t="s">
        <v>724</v>
      </c>
      <c r="L479" s="568"/>
      <c r="M479" s="569"/>
    </row>
    <row r="480" spans="1:13">
      <c r="A480" s="565"/>
      <c r="B480" s="566"/>
      <c r="C480" s="545"/>
      <c r="D480" s="545"/>
      <c r="E480" s="545"/>
      <c r="F480" s="545"/>
      <c r="G480" s="487"/>
      <c r="H480" s="535"/>
      <c r="I480" s="535"/>
      <c r="J480" s="454">
        <v>1</v>
      </c>
      <c r="K480" s="559" t="s">
        <v>731</v>
      </c>
      <c r="L480" s="568"/>
      <c r="M480" s="569"/>
    </row>
    <row r="481" spans="1:13" ht="31.5">
      <c r="A481" s="571" t="s">
        <v>545</v>
      </c>
      <c r="B481" s="415">
        <f>C481+D481+E481+F481</f>
        <v>91.2</v>
      </c>
      <c r="C481" s="545"/>
      <c r="D481" s="545"/>
      <c r="E481" s="545">
        <v>91.2</v>
      </c>
      <c r="F481" s="545"/>
      <c r="G481" s="487"/>
      <c r="H481" s="433">
        <f>((100*E481)/E479)-100</f>
        <v>115.09433962264151</v>
      </c>
      <c r="I481" s="433">
        <f>((100*B481)/B479)-100</f>
        <v>115.09433962264151</v>
      </c>
      <c r="J481" s="570">
        <v>24.2</v>
      </c>
      <c r="K481" s="572" t="s">
        <v>708</v>
      </c>
      <c r="L481" s="568"/>
      <c r="M481" s="569"/>
    </row>
    <row r="482" spans="1:13">
      <c r="A482" s="577"/>
      <c r="B482" s="566"/>
      <c r="C482" s="545"/>
      <c r="D482" s="545"/>
      <c r="E482" s="545"/>
      <c r="F482" s="545"/>
      <c r="G482" s="487"/>
      <c r="H482" s="535"/>
      <c r="I482" s="535"/>
      <c r="J482" s="570">
        <v>4.3</v>
      </c>
      <c r="K482" s="572" t="s">
        <v>732</v>
      </c>
      <c r="L482" s="568"/>
      <c r="M482" s="572"/>
    </row>
    <row r="483" spans="1:13" ht="16.5" thickBot="1">
      <c r="A483" s="578"/>
      <c r="B483" s="561"/>
      <c r="C483" s="562"/>
      <c r="D483" s="562"/>
      <c r="E483" s="562"/>
      <c r="F483" s="562"/>
      <c r="G483" s="490"/>
      <c r="H483" s="563"/>
      <c r="I483" s="563"/>
      <c r="J483" s="541">
        <v>7</v>
      </c>
      <c r="K483" s="579" t="s">
        <v>733</v>
      </c>
      <c r="L483" s="448"/>
      <c r="M483" s="514"/>
    </row>
    <row r="484" spans="1:13">
      <c r="A484" s="828" t="s">
        <v>734</v>
      </c>
      <c r="B484" s="829"/>
      <c r="C484" s="829"/>
      <c r="D484" s="829"/>
      <c r="E484" s="829"/>
      <c r="F484" s="829"/>
      <c r="G484" s="829"/>
      <c r="H484" s="829"/>
      <c r="I484" s="829"/>
      <c r="J484" s="829"/>
      <c r="K484" s="829"/>
      <c r="L484" s="829"/>
      <c r="M484" s="830"/>
    </row>
    <row r="485" spans="1:13">
      <c r="A485" s="565" t="s">
        <v>542</v>
      </c>
      <c r="B485" s="580">
        <f>C485+D485+E485</f>
        <v>89</v>
      </c>
      <c r="C485" s="432"/>
      <c r="D485" s="432"/>
      <c r="E485" s="432">
        <v>89</v>
      </c>
      <c r="F485" s="545"/>
      <c r="G485" s="487"/>
      <c r="H485" s="535"/>
      <c r="I485" s="535"/>
      <c r="J485" s="454">
        <v>10</v>
      </c>
      <c r="K485" s="559" t="s">
        <v>735</v>
      </c>
      <c r="L485" s="568"/>
      <c r="M485" s="569"/>
    </row>
    <row r="486" spans="1:13">
      <c r="A486" s="565"/>
      <c r="B486" s="580"/>
      <c r="C486" s="432"/>
      <c r="D486" s="432"/>
      <c r="E486" s="432"/>
      <c r="F486" s="545"/>
      <c r="G486" s="487"/>
      <c r="H486" s="535"/>
      <c r="I486" s="535"/>
      <c r="J486" s="454">
        <v>3.3</v>
      </c>
      <c r="K486" s="559" t="s">
        <v>708</v>
      </c>
      <c r="L486" s="568"/>
      <c r="M486" s="569"/>
    </row>
    <row r="487" spans="1:13">
      <c r="A487" s="565"/>
      <c r="B487" s="580"/>
      <c r="C487" s="432"/>
      <c r="D487" s="432"/>
      <c r="E487" s="432"/>
      <c r="F487" s="545"/>
      <c r="G487" s="487"/>
      <c r="H487" s="535"/>
      <c r="I487" s="535"/>
      <c r="J487" s="454">
        <v>2</v>
      </c>
      <c r="K487" s="559" t="s">
        <v>736</v>
      </c>
      <c r="L487" s="568"/>
      <c r="M487" s="569"/>
    </row>
    <row r="488" spans="1:13" ht="31.5">
      <c r="A488" s="571" t="s">
        <v>545</v>
      </c>
      <c r="B488" s="374">
        <f>C488+D488+E488+F488</f>
        <v>99.2</v>
      </c>
      <c r="C488" s="432"/>
      <c r="D488" s="432"/>
      <c r="E488" s="432">
        <v>99.2</v>
      </c>
      <c r="F488" s="545"/>
      <c r="G488" s="487"/>
      <c r="H488" s="433">
        <f>((100*E488)/E485)-100</f>
        <v>11.460674157303373</v>
      </c>
      <c r="I488" s="433">
        <f>((100*B488)/B485)-100</f>
        <v>11.460674157303373</v>
      </c>
      <c r="J488" s="454">
        <v>10</v>
      </c>
      <c r="K488" s="559" t="s">
        <v>735</v>
      </c>
      <c r="L488" s="568">
        <v>1.4</v>
      </c>
      <c r="M488" s="569" t="s">
        <v>712</v>
      </c>
    </row>
    <row r="489" spans="1:13" ht="31.5">
      <c r="A489" s="571"/>
      <c r="B489" s="566"/>
      <c r="C489" s="545"/>
      <c r="D489" s="545"/>
      <c r="E489" s="545"/>
      <c r="F489" s="545"/>
      <c r="G489" s="487"/>
      <c r="H489" s="535"/>
      <c r="I489" s="535"/>
      <c r="J489" s="454">
        <v>5.3</v>
      </c>
      <c r="K489" s="567" t="s">
        <v>737</v>
      </c>
      <c r="L489" s="568"/>
      <c r="M489" s="569"/>
    </row>
    <row r="490" spans="1:13" ht="16.5" thickBot="1">
      <c r="A490" s="393"/>
      <c r="B490" s="394"/>
      <c r="C490" s="395"/>
      <c r="D490" s="395"/>
      <c r="E490" s="395"/>
      <c r="F490" s="395"/>
      <c r="G490" s="453"/>
      <c r="H490" s="396"/>
      <c r="I490" s="396"/>
      <c r="J490" s="416">
        <v>7</v>
      </c>
      <c r="K490" s="581" t="s">
        <v>738</v>
      </c>
      <c r="L490" s="399"/>
      <c r="M490" s="400"/>
    </row>
    <row r="491" spans="1:13">
      <c r="A491" s="820" t="s">
        <v>739</v>
      </c>
      <c r="B491" s="821"/>
      <c r="C491" s="821"/>
      <c r="D491" s="821"/>
      <c r="E491" s="821"/>
      <c r="F491" s="821"/>
      <c r="G491" s="821"/>
      <c r="H491" s="821"/>
      <c r="I491" s="821"/>
      <c r="J491" s="821"/>
      <c r="K491" s="821"/>
      <c r="L491" s="821"/>
      <c r="M491" s="822"/>
    </row>
    <row r="492" spans="1:13">
      <c r="A492" s="373" t="s">
        <v>542</v>
      </c>
      <c r="B492" s="415">
        <f>C492+D492+E492</f>
        <v>56.5</v>
      </c>
      <c r="C492" s="376"/>
      <c r="D492" s="376"/>
      <c r="E492" s="376">
        <v>56.5</v>
      </c>
      <c r="F492" s="376"/>
      <c r="G492" s="382"/>
      <c r="H492" s="377"/>
      <c r="I492" s="377"/>
      <c r="J492" s="378">
        <v>9.3000000000000007</v>
      </c>
      <c r="K492" s="572" t="s">
        <v>740</v>
      </c>
      <c r="L492" s="380"/>
      <c r="M492" s="381"/>
    </row>
    <row r="493" spans="1:13">
      <c r="A493" s="373"/>
      <c r="B493" s="415"/>
      <c r="C493" s="376"/>
      <c r="D493" s="376"/>
      <c r="E493" s="376"/>
      <c r="F493" s="376"/>
      <c r="G493" s="382"/>
      <c r="H493" s="377"/>
      <c r="I493" s="377"/>
      <c r="J493" s="383">
        <v>4.2</v>
      </c>
      <c r="K493" s="567" t="s">
        <v>741</v>
      </c>
      <c r="L493" s="380"/>
      <c r="M493" s="381"/>
    </row>
    <row r="494" spans="1:13">
      <c r="A494" s="373"/>
      <c r="B494" s="415"/>
      <c r="C494" s="376"/>
      <c r="D494" s="376"/>
      <c r="E494" s="376"/>
      <c r="F494" s="376"/>
      <c r="G494" s="382"/>
      <c r="H494" s="377"/>
      <c r="I494" s="377"/>
      <c r="J494" s="383"/>
      <c r="K494" s="559"/>
      <c r="L494" s="380"/>
      <c r="M494" s="381"/>
    </row>
    <row r="495" spans="1:13" ht="31.5">
      <c r="A495" s="413" t="s">
        <v>545</v>
      </c>
      <c r="B495" s="415">
        <f>C495+D495+E495+F495</f>
        <v>50.7</v>
      </c>
      <c r="C495" s="376"/>
      <c r="D495" s="376"/>
      <c r="E495" s="376">
        <v>50.7</v>
      </c>
      <c r="F495" s="376"/>
      <c r="G495" s="382"/>
      <c r="H495" s="414">
        <f>((100*E495)/E492)-100</f>
        <v>-10.26548672566372</v>
      </c>
      <c r="I495" s="414">
        <f>((100*B495)/B492)-100</f>
        <v>-10.26548672566372</v>
      </c>
      <c r="J495" s="378">
        <v>7</v>
      </c>
      <c r="K495" s="559" t="s">
        <v>738</v>
      </c>
      <c r="L495" s="380"/>
      <c r="M495" s="381"/>
    </row>
    <row r="496" spans="1:13" ht="16.5" thickBot="1">
      <c r="A496" s="393"/>
      <c r="B496" s="394"/>
      <c r="C496" s="395"/>
      <c r="D496" s="395"/>
      <c r="E496" s="395"/>
      <c r="F496" s="395"/>
      <c r="G496" s="453"/>
      <c r="H496" s="396"/>
      <c r="I496" s="396"/>
      <c r="J496" s="397"/>
      <c r="K496" s="581"/>
      <c r="L496" s="399"/>
      <c r="M496" s="400"/>
    </row>
    <row r="497" spans="1:13">
      <c r="A497" s="820" t="s">
        <v>742</v>
      </c>
      <c r="B497" s="821"/>
      <c r="C497" s="821"/>
      <c r="D497" s="821"/>
      <c r="E497" s="821"/>
      <c r="F497" s="821"/>
      <c r="G497" s="821"/>
      <c r="H497" s="821"/>
      <c r="I497" s="821"/>
      <c r="J497" s="821"/>
      <c r="K497" s="821"/>
      <c r="L497" s="821"/>
      <c r="M497" s="822"/>
    </row>
    <row r="498" spans="1:13">
      <c r="A498" s="373" t="s">
        <v>542</v>
      </c>
      <c r="B498" s="374">
        <f>C498+D498+E498</f>
        <v>6</v>
      </c>
      <c r="C498" s="375"/>
      <c r="D498" s="375"/>
      <c r="E498" s="375">
        <v>6</v>
      </c>
      <c r="F498" s="376"/>
      <c r="G498" s="382"/>
      <c r="H498" s="377"/>
      <c r="I498" s="377"/>
      <c r="J498" s="378"/>
      <c r="K498" s="379"/>
      <c r="L498" s="380"/>
      <c r="M498" s="381"/>
    </row>
    <row r="499" spans="1:13">
      <c r="A499" s="373"/>
      <c r="B499" s="374"/>
      <c r="C499" s="375"/>
      <c r="D499" s="375"/>
      <c r="E499" s="375"/>
      <c r="F499" s="376"/>
      <c r="G499" s="382"/>
      <c r="H499" s="377"/>
      <c r="I499" s="377"/>
      <c r="J499" s="383"/>
      <c r="K499" s="384"/>
      <c r="L499" s="380"/>
      <c r="M499" s="381"/>
    </row>
    <row r="500" spans="1:13" ht="32.25" thickBot="1">
      <c r="A500" s="393" t="s">
        <v>545</v>
      </c>
      <c r="B500" s="451">
        <f>C500+D500+E500+F500</f>
        <v>0</v>
      </c>
      <c r="C500" s="418"/>
      <c r="D500" s="418"/>
      <c r="E500" s="418">
        <v>0</v>
      </c>
      <c r="F500" s="395"/>
      <c r="G500" s="453"/>
      <c r="H500" s="419">
        <f>((100*E500)/E498)-100</f>
        <v>-100</v>
      </c>
      <c r="I500" s="419">
        <f>((100*B500)/B498)-100</f>
        <v>-100</v>
      </c>
      <c r="J500" s="397"/>
      <c r="K500" s="417"/>
      <c r="L500" s="399"/>
      <c r="M500" s="400"/>
    </row>
    <row r="501" spans="1:13">
      <c r="A501" s="820" t="s">
        <v>743</v>
      </c>
      <c r="B501" s="821"/>
      <c r="C501" s="821"/>
      <c r="D501" s="821"/>
      <c r="E501" s="821"/>
      <c r="F501" s="821"/>
      <c r="G501" s="821"/>
      <c r="H501" s="821"/>
      <c r="I501" s="821"/>
      <c r="J501" s="821"/>
      <c r="K501" s="821"/>
      <c r="L501" s="821"/>
      <c r="M501" s="822"/>
    </row>
    <row r="502" spans="1:13">
      <c r="A502" s="373" t="s">
        <v>542</v>
      </c>
      <c r="B502" s="415">
        <f>C502+D502+E502</f>
        <v>1227.1000000000001</v>
      </c>
      <c r="C502" s="376">
        <v>1134.7</v>
      </c>
      <c r="D502" s="376">
        <v>16.5</v>
      </c>
      <c r="E502" s="376">
        <v>75.900000000000006</v>
      </c>
      <c r="F502" s="376"/>
      <c r="G502" s="382"/>
      <c r="H502" s="377"/>
      <c r="I502" s="377"/>
      <c r="J502" s="378">
        <v>7.4</v>
      </c>
      <c r="K502" s="559" t="s">
        <v>744</v>
      </c>
      <c r="L502" s="380"/>
      <c r="M502" s="381"/>
    </row>
    <row r="503" spans="1:13">
      <c r="A503" s="373"/>
      <c r="B503" s="415"/>
      <c r="C503" s="376"/>
      <c r="D503" s="376"/>
      <c r="E503" s="376"/>
      <c r="F503" s="376"/>
      <c r="G503" s="382"/>
      <c r="H503" s="377"/>
      <c r="I503" s="377"/>
      <c r="J503" s="378">
        <v>4</v>
      </c>
      <c r="K503" s="574" t="s">
        <v>745</v>
      </c>
      <c r="L503" s="380"/>
      <c r="M503" s="381"/>
    </row>
    <row r="504" spans="1:13" ht="32.25" thickBot="1">
      <c r="A504" s="393" t="s">
        <v>545</v>
      </c>
      <c r="B504" s="394">
        <f>C504+D504+E504+F504</f>
        <v>1353.1000000000001</v>
      </c>
      <c r="C504" s="395">
        <v>1266.2</v>
      </c>
      <c r="D504" s="395">
        <v>18.299999999999997</v>
      </c>
      <c r="E504" s="395">
        <v>64.900000000000006</v>
      </c>
      <c r="F504" s="395">
        <v>3.7</v>
      </c>
      <c r="G504" s="419">
        <f>C504/C502*100-100</f>
        <v>11.588966246585002</v>
      </c>
      <c r="H504" s="419">
        <f>((100*E504)/E502)-100</f>
        <v>-14.492753623188406</v>
      </c>
      <c r="I504" s="419">
        <f>((100*B504)/B502)-100</f>
        <v>10.26811180832857</v>
      </c>
      <c r="J504" s="416">
        <v>3</v>
      </c>
      <c r="K504" s="417" t="s">
        <v>746</v>
      </c>
      <c r="L504" s="582">
        <v>2</v>
      </c>
      <c r="M504" s="400" t="s">
        <v>747</v>
      </c>
    </row>
    <row r="505" spans="1:13">
      <c r="A505" s="820" t="s">
        <v>748</v>
      </c>
      <c r="B505" s="821"/>
      <c r="C505" s="821"/>
      <c r="D505" s="821"/>
      <c r="E505" s="821"/>
      <c r="F505" s="821"/>
      <c r="G505" s="821"/>
      <c r="H505" s="821"/>
      <c r="I505" s="821"/>
      <c r="J505" s="821"/>
      <c r="K505" s="821"/>
      <c r="L505" s="821"/>
      <c r="M505" s="822"/>
    </row>
    <row r="506" spans="1:13">
      <c r="A506" s="373" t="s">
        <v>542</v>
      </c>
      <c r="B506" s="415">
        <f>C506+D506+E506</f>
        <v>0</v>
      </c>
      <c r="C506" s="376"/>
      <c r="D506" s="376"/>
      <c r="E506" s="376"/>
      <c r="F506" s="376"/>
      <c r="G506" s="382"/>
      <c r="H506" s="377"/>
      <c r="I506" s="377"/>
      <c r="J506" s="378"/>
      <c r="K506" s="379"/>
      <c r="L506" s="380"/>
      <c r="M506" s="381"/>
    </row>
    <row r="507" spans="1:13">
      <c r="A507" s="373"/>
      <c r="B507" s="415"/>
      <c r="C507" s="376"/>
      <c r="D507" s="376"/>
      <c r="E507" s="376"/>
      <c r="F507" s="376"/>
      <c r="G507" s="382"/>
      <c r="H507" s="377"/>
      <c r="I507" s="377"/>
      <c r="J507" s="383"/>
      <c r="K507" s="384"/>
      <c r="L507" s="380"/>
      <c r="M507" s="381"/>
    </row>
    <row r="508" spans="1:13" ht="32.25" thickBot="1">
      <c r="A508" s="393" t="s">
        <v>545</v>
      </c>
      <c r="B508" s="394">
        <f>C508+D508+E508+F508</f>
        <v>0</v>
      </c>
      <c r="C508" s="395"/>
      <c r="D508" s="395"/>
      <c r="E508" s="395"/>
      <c r="F508" s="395"/>
      <c r="G508" s="453"/>
      <c r="H508" s="396"/>
      <c r="I508" s="396"/>
      <c r="J508" s="397"/>
      <c r="K508" s="417"/>
      <c r="L508" s="399"/>
      <c r="M508" s="400"/>
    </row>
    <row r="509" spans="1:13">
      <c r="A509" s="820" t="s">
        <v>749</v>
      </c>
      <c r="B509" s="821"/>
      <c r="C509" s="821"/>
      <c r="D509" s="821"/>
      <c r="E509" s="821"/>
      <c r="F509" s="821"/>
      <c r="G509" s="821"/>
      <c r="H509" s="821"/>
      <c r="I509" s="821"/>
      <c r="J509" s="821"/>
      <c r="K509" s="821"/>
      <c r="L509" s="821"/>
      <c r="M509" s="822"/>
    </row>
    <row r="510" spans="1:13">
      <c r="A510" s="373" t="s">
        <v>542</v>
      </c>
      <c r="B510" s="374">
        <f>C510+D510+E510</f>
        <v>110</v>
      </c>
      <c r="C510" s="375"/>
      <c r="D510" s="375"/>
      <c r="E510" s="375">
        <v>110</v>
      </c>
      <c r="F510" s="376"/>
      <c r="G510" s="382"/>
      <c r="H510" s="377"/>
      <c r="I510" s="377"/>
      <c r="J510" s="378"/>
      <c r="K510" s="379"/>
      <c r="L510" s="380"/>
      <c r="M510" s="381"/>
    </row>
    <row r="511" spans="1:13">
      <c r="A511" s="373"/>
      <c r="B511" s="374"/>
      <c r="C511" s="375"/>
      <c r="D511" s="375"/>
      <c r="E511" s="375"/>
      <c r="F511" s="376"/>
      <c r="G511" s="382"/>
      <c r="H511" s="377"/>
      <c r="I511" s="377"/>
      <c r="J511" s="383"/>
      <c r="K511" s="384"/>
      <c r="L511" s="380"/>
      <c r="M511" s="381"/>
    </row>
    <row r="512" spans="1:13" ht="32.25" thickBot="1">
      <c r="A512" s="393" t="s">
        <v>545</v>
      </c>
      <c r="B512" s="451">
        <f>C512+D512+E512+F512</f>
        <v>130</v>
      </c>
      <c r="C512" s="418"/>
      <c r="D512" s="418"/>
      <c r="E512" s="435">
        <v>130</v>
      </c>
      <c r="F512" s="562"/>
      <c r="G512" s="419">
        <v>130</v>
      </c>
      <c r="H512" s="419">
        <f>((100*E512)/E510)-100</f>
        <v>18.181818181818187</v>
      </c>
      <c r="I512" s="419">
        <f>((100*B512)/B510)-100</f>
        <v>18.181818181818187</v>
      </c>
      <c r="J512" s="397"/>
      <c r="K512" s="417"/>
      <c r="L512" s="399"/>
      <c r="M512" s="400"/>
    </row>
    <row r="513" spans="1:13">
      <c r="A513" s="820" t="s">
        <v>750</v>
      </c>
      <c r="B513" s="821"/>
      <c r="C513" s="821"/>
      <c r="D513" s="821"/>
      <c r="E513" s="821"/>
      <c r="F513" s="821"/>
      <c r="G513" s="821"/>
      <c r="H513" s="821"/>
      <c r="I513" s="821"/>
      <c r="J513" s="821"/>
      <c r="K513" s="821"/>
      <c r="L513" s="821"/>
      <c r="M513" s="822"/>
    </row>
    <row r="514" spans="1:13">
      <c r="A514" s="373" t="s">
        <v>542</v>
      </c>
      <c r="B514" s="415">
        <f>C514+D514+E514</f>
        <v>6394.2</v>
      </c>
      <c r="C514" s="545">
        <v>5643.2</v>
      </c>
      <c r="D514" s="376">
        <v>83.1</v>
      </c>
      <c r="E514" s="376">
        <v>667.9</v>
      </c>
      <c r="F514" s="376"/>
      <c r="G514" s="382"/>
      <c r="H514" s="377"/>
      <c r="I514" s="377"/>
      <c r="J514" s="378"/>
      <c r="K514" s="574" t="s">
        <v>751</v>
      </c>
      <c r="L514" s="380"/>
      <c r="M514" s="381"/>
    </row>
    <row r="515" spans="1:13">
      <c r="A515" s="373"/>
      <c r="B515" s="415"/>
      <c r="C515" s="376"/>
      <c r="D515" s="376"/>
      <c r="E515" s="376"/>
      <c r="F515" s="376"/>
      <c r="G515" s="382"/>
      <c r="H515" s="377"/>
      <c r="I515" s="377"/>
      <c r="J515" s="383"/>
      <c r="K515" s="583"/>
      <c r="L515" s="380"/>
      <c r="M515" s="381"/>
    </row>
    <row r="516" spans="1:13" ht="31.5">
      <c r="A516" s="413" t="s">
        <v>545</v>
      </c>
      <c r="B516" s="415">
        <f>C516+D516+E516+F516</f>
        <v>7058.7350000000006</v>
      </c>
      <c r="C516" s="570">
        <v>6265.4</v>
      </c>
      <c r="D516" s="376">
        <v>92.1</v>
      </c>
      <c r="E516" s="376">
        <v>690.8</v>
      </c>
      <c r="F516" s="376">
        <v>10.435</v>
      </c>
      <c r="G516" s="414">
        <f>C516/C514*100-100</f>
        <v>11.025659200453646</v>
      </c>
      <c r="H516" s="414">
        <f>((100*E516)/E514)-100</f>
        <v>3.428656984578538</v>
      </c>
      <c r="I516" s="414">
        <f>((100*B516)/B514)-100</f>
        <v>10.392777829908354</v>
      </c>
      <c r="J516" s="378">
        <v>50</v>
      </c>
      <c r="K516" s="384" t="s">
        <v>752</v>
      </c>
      <c r="L516" s="380"/>
      <c r="M516" s="381"/>
    </row>
    <row r="517" spans="1:13" ht="16.5" thickBot="1">
      <c r="A517" s="393"/>
      <c r="B517" s="394"/>
      <c r="C517" s="395"/>
      <c r="D517" s="395"/>
      <c r="E517" s="395"/>
      <c r="F517" s="395"/>
      <c r="G517" s="396"/>
      <c r="H517" s="396"/>
      <c r="I517" s="396"/>
      <c r="J517" s="416">
        <v>15</v>
      </c>
      <c r="K517" s="417" t="s">
        <v>753</v>
      </c>
      <c r="L517" s="399"/>
      <c r="M517" s="400"/>
    </row>
    <row r="518" spans="1:13">
      <c r="A518" s="820" t="s">
        <v>754</v>
      </c>
      <c r="B518" s="821"/>
      <c r="C518" s="821"/>
      <c r="D518" s="821"/>
      <c r="E518" s="821"/>
      <c r="F518" s="821"/>
      <c r="G518" s="821"/>
      <c r="H518" s="821"/>
      <c r="I518" s="821"/>
      <c r="J518" s="821"/>
      <c r="K518" s="821"/>
      <c r="L518" s="821"/>
      <c r="M518" s="822"/>
    </row>
    <row r="519" spans="1:13">
      <c r="A519" s="373" t="s">
        <v>542</v>
      </c>
      <c r="B519" s="415">
        <f>C519+D519+E519</f>
        <v>731.30000000000007</v>
      </c>
      <c r="C519" s="376">
        <v>658.2</v>
      </c>
      <c r="D519" s="376">
        <v>9.5</v>
      </c>
      <c r="E519" s="376">
        <v>63.6</v>
      </c>
      <c r="F519" s="376"/>
      <c r="G519" s="382"/>
      <c r="H519" s="377"/>
      <c r="I519" s="377"/>
      <c r="J519" s="378"/>
      <c r="K519" s="379"/>
      <c r="L519" s="380"/>
      <c r="M519" s="381"/>
    </row>
    <row r="520" spans="1:13">
      <c r="A520" s="373"/>
      <c r="B520" s="415"/>
      <c r="C520" s="376"/>
      <c r="D520" s="376"/>
      <c r="E520" s="376"/>
      <c r="F520" s="376"/>
      <c r="G520" s="382"/>
      <c r="H520" s="377"/>
      <c r="I520" s="377"/>
      <c r="J520" s="383"/>
      <c r="K520" s="384"/>
      <c r="L520" s="380"/>
      <c r="M520" s="381"/>
    </row>
    <row r="521" spans="1:13" ht="32.25" thickBot="1">
      <c r="A521" s="393" t="s">
        <v>545</v>
      </c>
      <c r="B521" s="394">
        <f>C521+D521+E521+F521</f>
        <v>726.6</v>
      </c>
      <c r="C521" s="584">
        <v>658.4</v>
      </c>
      <c r="D521" s="395">
        <v>9.5</v>
      </c>
      <c r="E521" s="395">
        <v>58.7</v>
      </c>
      <c r="F521" s="395"/>
      <c r="G521" s="419">
        <f>C521/C519*100-100</f>
        <v>3.0385900941951149E-2</v>
      </c>
      <c r="H521" s="419">
        <f>((100*E521)/E519)-100</f>
        <v>-7.7044025157232738</v>
      </c>
      <c r="I521" s="419">
        <f>((100*B521)/B519)-100</f>
        <v>-0.6426910980445939</v>
      </c>
      <c r="J521" s="397"/>
      <c r="K521" s="417"/>
      <c r="L521" s="399"/>
      <c r="M521" s="400"/>
    </row>
    <row r="522" spans="1:13">
      <c r="A522" s="820" t="s">
        <v>755</v>
      </c>
      <c r="B522" s="821"/>
      <c r="C522" s="821"/>
      <c r="D522" s="821"/>
      <c r="E522" s="821"/>
      <c r="F522" s="821"/>
      <c r="G522" s="821"/>
      <c r="H522" s="821"/>
      <c r="I522" s="821"/>
      <c r="J522" s="821"/>
      <c r="K522" s="821"/>
      <c r="L522" s="821"/>
      <c r="M522" s="822"/>
    </row>
    <row r="523" spans="1:13">
      <c r="A523" s="373" t="s">
        <v>542</v>
      </c>
      <c r="B523" s="415">
        <f>C523+D523+E523</f>
        <v>169.5</v>
      </c>
      <c r="C523" s="376">
        <v>159.69999999999999</v>
      </c>
      <c r="D523" s="376">
        <v>2.2999999999999998</v>
      </c>
      <c r="E523" s="376">
        <v>7.5</v>
      </c>
      <c r="F523" s="376"/>
      <c r="G523" s="382"/>
      <c r="H523" s="377"/>
      <c r="I523" s="377"/>
      <c r="J523" s="378"/>
      <c r="K523" s="574" t="s">
        <v>756</v>
      </c>
      <c r="L523" s="380"/>
      <c r="M523" s="381"/>
    </row>
    <row r="524" spans="1:13">
      <c r="A524" s="373"/>
      <c r="B524" s="415"/>
      <c r="C524" s="376"/>
      <c r="D524" s="376"/>
      <c r="E524" s="376"/>
      <c r="F524" s="376"/>
      <c r="G524" s="382"/>
      <c r="H524" s="377"/>
      <c r="I524" s="377"/>
      <c r="J524" s="383"/>
      <c r="K524" s="384"/>
      <c r="L524" s="380"/>
      <c r="M524" s="381"/>
    </row>
    <row r="525" spans="1:13" ht="32.25" thickBot="1">
      <c r="A525" s="393" t="s">
        <v>545</v>
      </c>
      <c r="B525" s="394">
        <f>C525+D525+E525+F525</f>
        <v>170.1</v>
      </c>
      <c r="C525" s="395">
        <v>160.69999999999999</v>
      </c>
      <c r="D525" s="395">
        <v>2.2999999999999998</v>
      </c>
      <c r="E525" s="395">
        <v>7.1</v>
      </c>
      <c r="F525" s="395"/>
      <c r="G525" s="419">
        <f>C525/C523*100-100</f>
        <v>0.62617407639322664</v>
      </c>
      <c r="H525" s="419">
        <f>((100*E525)/E523)-100</f>
        <v>-5.3333333333333286</v>
      </c>
      <c r="I525" s="419">
        <f>((100*B525)/B523)-100</f>
        <v>0.35398230088495097</v>
      </c>
      <c r="J525" s="397"/>
      <c r="K525" s="417"/>
      <c r="L525" s="399"/>
      <c r="M525" s="400"/>
    </row>
    <row r="526" spans="1:13">
      <c r="A526" s="820" t="s">
        <v>757</v>
      </c>
      <c r="B526" s="821"/>
      <c r="C526" s="821"/>
      <c r="D526" s="821"/>
      <c r="E526" s="821"/>
      <c r="F526" s="821"/>
      <c r="G526" s="821"/>
      <c r="H526" s="821"/>
      <c r="I526" s="821"/>
      <c r="J526" s="821"/>
      <c r="K526" s="821"/>
      <c r="L526" s="821"/>
      <c r="M526" s="822"/>
    </row>
    <row r="527" spans="1:13">
      <c r="A527" s="373" t="s">
        <v>542</v>
      </c>
      <c r="B527" s="374">
        <f>C527+D527+E527</f>
        <v>36</v>
      </c>
      <c r="C527" s="375"/>
      <c r="D527" s="375"/>
      <c r="E527" s="375">
        <v>36</v>
      </c>
      <c r="F527" s="376"/>
      <c r="G527" s="382"/>
      <c r="H527" s="377"/>
      <c r="I527" s="377"/>
      <c r="J527" s="378"/>
      <c r="K527" s="379"/>
      <c r="L527" s="380"/>
      <c r="M527" s="381"/>
    </row>
    <row r="528" spans="1:13">
      <c r="A528" s="373"/>
      <c r="B528" s="374"/>
      <c r="C528" s="375"/>
      <c r="D528" s="375"/>
      <c r="E528" s="375"/>
      <c r="F528" s="376"/>
      <c r="G528" s="382"/>
      <c r="H528" s="377"/>
      <c r="I528" s="377"/>
      <c r="J528" s="383"/>
      <c r="K528" s="384"/>
      <c r="L528" s="380"/>
      <c r="M528" s="381"/>
    </row>
    <row r="529" spans="1:13" ht="32.25" thickBot="1">
      <c r="A529" s="393" t="s">
        <v>545</v>
      </c>
      <c r="B529" s="451">
        <f>C529+D529+E529+F529</f>
        <v>36</v>
      </c>
      <c r="C529" s="418"/>
      <c r="D529" s="418"/>
      <c r="E529" s="418">
        <v>36</v>
      </c>
      <c r="F529" s="395"/>
      <c r="G529" s="453"/>
      <c r="H529" s="396">
        <f>((100*E529)/E527)-100</f>
        <v>0</v>
      </c>
      <c r="I529" s="396">
        <f>((100*B529)/B527)-100</f>
        <v>0</v>
      </c>
      <c r="J529" s="397"/>
      <c r="K529" s="417"/>
      <c r="L529" s="399"/>
      <c r="M529" s="400"/>
    </row>
    <row r="530" spans="1:13">
      <c r="A530" s="820" t="s">
        <v>758</v>
      </c>
      <c r="B530" s="821"/>
      <c r="C530" s="821"/>
      <c r="D530" s="821"/>
      <c r="E530" s="821"/>
      <c r="F530" s="821"/>
      <c r="G530" s="821"/>
      <c r="H530" s="821"/>
      <c r="I530" s="821"/>
      <c r="J530" s="821"/>
      <c r="K530" s="821"/>
      <c r="L530" s="821"/>
      <c r="M530" s="822"/>
    </row>
    <row r="531" spans="1:13">
      <c r="A531" s="373" t="s">
        <v>542</v>
      </c>
      <c r="B531" s="374">
        <f>C531+D531+E531</f>
        <v>10</v>
      </c>
      <c r="C531" s="375"/>
      <c r="D531" s="375"/>
      <c r="E531" s="375">
        <v>10</v>
      </c>
      <c r="F531" s="376"/>
      <c r="G531" s="382"/>
      <c r="H531" s="377"/>
      <c r="I531" s="377"/>
      <c r="J531" s="378"/>
      <c r="K531" s="379"/>
      <c r="L531" s="380"/>
      <c r="M531" s="381"/>
    </row>
    <row r="532" spans="1:13">
      <c r="A532" s="373"/>
      <c r="B532" s="374"/>
      <c r="C532" s="375"/>
      <c r="D532" s="375"/>
      <c r="E532" s="375"/>
      <c r="F532" s="376"/>
      <c r="G532" s="382"/>
      <c r="H532" s="377"/>
      <c r="I532" s="377"/>
      <c r="J532" s="383"/>
      <c r="K532" s="384"/>
      <c r="L532" s="380"/>
      <c r="M532" s="381"/>
    </row>
    <row r="533" spans="1:13" ht="32.25" thickBot="1">
      <c r="A533" s="393" t="s">
        <v>545</v>
      </c>
      <c r="B533" s="451">
        <f>C533+D533+E533+F533</f>
        <v>10</v>
      </c>
      <c r="C533" s="418"/>
      <c r="D533" s="418"/>
      <c r="E533" s="418">
        <v>10</v>
      </c>
      <c r="F533" s="395"/>
      <c r="G533" s="453"/>
      <c r="H533" s="396">
        <f>((100*E533)/E531)-100</f>
        <v>0</v>
      </c>
      <c r="I533" s="396">
        <f>((100*B533)/B531)-100</f>
        <v>0</v>
      </c>
      <c r="J533" s="397"/>
      <c r="K533" s="417"/>
      <c r="L533" s="399"/>
      <c r="M533" s="400"/>
    </row>
    <row r="534" spans="1:13">
      <c r="A534" s="820" t="s">
        <v>759</v>
      </c>
      <c r="B534" s="821"/>
      <c r="C534" s="821"/>
      <c r="D534" s="821"/>
      <c r="E534" s="821"/>
      <c r="F534" s="821"/>
      <c r="G534" s="821"/>
      <c r="H534" s="821"/>
      <c r="I534" s="821"/>
      <c r="J534" s="821"/>
      <c r="K534" s="821"/>
      <c r="L534" s="821"/>
      <c r="M534" s="822"/>
    </row>
    <row r="535" spans="1:13">
      <c r="A535" s="373" t="s">
        <v>542</v>
      </c>
      <c r="B535" s="374">
        <f>C535+D535+E535</f>
        <v>1</v>
      </c>
      <c r="C535" s="375"/>
      <c r="D535" s="375"/>
      <c r="E535" s="375">
        <v>1</v>
      </c>
      <c r="F535" s="376"/>
      <c r="G535" s="382"/>
      <c r="H535" s="377"/>
      <c r="I535" s="377"/>
      <c r="J535" s="378"/>
      <c r="K535" s="379"/>
      <c r="L535" s="380"/>
      <c r="M535" s="381"/>
    </row>
    <row r="536" spans="1:13">
      <c r="A536" s="373"/>
      <c r="B536" s="374"/>
      <c r="C536" s="375"/>
      <c r="D536" s="375"/>
      <c r="E536" s="375"/>
      <c r="F536" s="376"/>
      <c r="G536" s="382"/>
      <c r="H536" s="377"/>
      <c r="I536" s="377"/>
      <c r="J536" s="383"/>
      <c r="K536" s="384"/>
      <c r="L536" s="380"/>
      <c r="M536" s="381"/>
    </row>
    <row r="537" spans="1:13" ht="32.25" thickBot="1">
      <c r="A537" s="393" t="s">
        <v>545</v>
      </c>
      <c r="B537" s="451">
        <f>C537+D537+E537+F537</f>
        <v>1</v>
      </c>
      <c r="C537" s="418"/>
      <c r="D537" s="418"/>
      <c r="E537" s="418">
        <v>1</v>
      </c>
      <c r="F537" s="395"/>
      <c r="G537" s="453"/>
      <c r="H537" s="396">
        <f>((100*E537)/E535)-100</f>
        <v>0</v>
      </c>
      <c r="I537" s="396">
        <f>((100*B537)/B535)-100</f>
        <v>0</v>
      </c>
      <c r="J537" s="397"/>
      <c r="K537" s="417"/>
      <c r="L537" s="399"/>
      <c r="M537" s="400"/>
    </row>
    <row r="538" spans="1:13">
      <c r="A538" s="820" t="s">
        <v>760</v>
      </c>
      <c r="B538" s="821"/>
      <c r="C538" s="821"/>
      <c r="D538" s="821"/>
      <c r="E538" s="821"/>
      <c r="F538" s="821"/>
      <c r="G538" s="821"/>
      <c r="H538" s="821"/>
      <c r="I538" s="821"/>
      <c r="J538" s="821"/>
      <c r="K538" s="821"/>
      <c r="L538" s="821"/>
      <c r="M538" s="822"/>
    </row>
    <row r="539" spans="1:13">
      <c r="A539" s="373" t="s">
        <v>542</v>
      </c>
      <c r="B539" s="374">
        <f>C539+D539+E539</f>
        <v>350</v>
      </c>
      <c r="C539" s="375"/>
      <c r="D539" s="375"/>
      <c r="E539" s="375">
        <v>350</v>
      </c>
      <c r="F539" s="376"/>
      <c r="G539" s="382"/>
      <c r="H539" s="377"/>
      <c r="I539" s="377"/>
      <c r="J539" s="378"/>
      <c r="K539" s="379"/>
      <c r="L539" s="380"/>
      <c r="M539" s="381"/>
    </row>
    <row r="540" spans="1:13">
      <c r="A540" s="373"/>
      <c r="B540" s="374"/>
      <c r="C540" s="375"/>
      <c r="D540" s="375"/>
      <c r="E540" s="375"/>
      <c r="F540" s="376"/>
      <c r="G540" s="382"/>
      <c r="H540" s="377"/>
      <c r="I540" s="377"/>
      <c r="J540" s="383"/>
      <c r="K540" s="384"/>
      <c r="L540" s="380"/>
      <c r="M540" s="381"/>
    </row>
    <row r="541" spans="1:13" ht="32.25" thickBot="1">
      <c r="A541" s="393" t="s">
        <v>545</v>
      </c>
      <c r="B541" s="451">
        <f>C541+D541+E541+F541</f>
        <v>380</v>
      </c>
      <c r="C541" s="418"/>
      <c r="D541" s="418"/>
      <c r="E541" s="418">
        <v>380</v>
      </c>
      <c r="F541" s="395"/>
      <c r="G541" s="453"/>
      <c r="H541" s="419">
        <f>((100*E541)/E539)-100</f>
        <v>8.5714285714285694</v>
      </c>
      <c r="I541" s="419">
        <f>((100*B541)/B539)-100</f>
        <v>8.5714285714285694</v>
      </c>
      <c r="J541" s="397"/>
      <c r="K541" s="417"/>
      <c r="L541" s="399"/>
      <c r="M541" s="400"/>
    </row>
    <row r="542" spans="1:13">
      <c r="A542" s="820" t="s">
        <v>761</v>
      </c>
      <c r="B542" s="821"/>
      <c r="C542" s="821"/>
      <c r="D542" s="821"/>
      <c r="E542" s="821"/>
      <c r="F542" s="821"/>
      <c r="G542" s="821"/>
      <c r="H542" s="821"/>
      <c r="I542" s="821"/>
      <c r="J542" s="821"/>
      <c r="K542" s="821"/>
      <c r="L542" s="821"/>
      <c r="M542" s="822"/>
    </row>
    <row r="543" spans="1:13">
      <c r="A543" s="373" t="s">
        <v>542</v>
      </c>
      <c r="B543" s="415">
        <f>C543+D543+E543</f>
        <v>1167.0999999999999</v>
      </c>
      <c r="C543" s="376"/>
      <c r="D543" s="376"/>
      <c r="E543" s="376">
        <v>1167.0999999999999</v>
      </c>
      <c r="F543" s="376"/>
      <c r="G543" s="382"/>
      <c r="H543" s="377"/>
      <c r="I543" s="377"/>
      <c r="J543" s="378"/>
      <c r="K543" s="379"/>
      <c r="L543" s="380"/>
      <c r="M543" s="381"/>
    </row>
    <row r="544" spans="1:13">
      <c r="A544" s="373"/>
      <c r="B544" s="415"/>
      <c r="C544" s="376"/>
      <c r="D544" s="376"/>
      <c r="E544" s="376"/>
      <c r="F544" s="376"/>
      <c r="G544" s="382"/>
      <c r="H544" s="377"/>
      <c r="I544" s="377"/>
      <c r="J544" s="383"/>
      <c r="K544" s="384"/>
      <c r="L544" s="380"/>
      <c r="M544" s="381"/>
    </row>
    <row r="545" spans="1:13" ht="32.25" thickBot="1">
      <c r="A545" s="393" t="s">
        <v>545</v>
      </c>
      <c r="B545" s="394">
        <f>C545+D545+E545+F545</f>
        <v>1684.8</v>
      </c>
      <c r="C545" s="395"/>
      <c r="D545" s="395"/>
      <c r="E545" s="395">
        <v>1684.8</v>
      </c>
      <c r="F545" s="395"/>
      <c r="G545" s="453"/>
      <c r="H545" s="419">
        <f>((100*E545)/E543)-100</f>
        <v>44.357809956301963</v>
      </c>
      <c r="I545" s="419">
        <f>((100*B545)/B543)-100</f>
        <v>44.357809956301963</v>
      </c>
      <c r="J545" s="397"/>
      <c r="K545" s="417"/>
      <c r="L545" s="399"/>
      <c r="M545" s="400"/>
    </row>
    <row r="546" spans="1:13">
      <c r="A546" s="820" t="s">
        <v>762</v>
      </c>
      <c r="B546" s="821"/>
      <c r="C546" s="821"/>
      <c r="D546" s="821"/>
      <c r="E546" s="821"/>
      <c r="F546" s="821"/>
      <c r="G546" s="821"/>
      <c r="H546" s="821"/>
      <c r="I546" s="821"/>
      <c r="J546" s="821"/>
      <c r="K546" s="821"/>
      <c r="L546" s="821"/>
      <c r="M546" s="822"/>
    </row>
    <row r="547" spans="1:13">
      <c r="A547" s="373" t="s">
        <v>542</v>
      </c>
      <c r="B547" s="374">
        <f>C547+D547+E547</f>
        <v>1</v>
      </c>
      <c r="C547" s="375"/>
      <c r="D547" s="375"/>
      <c r="E547" s="375">
        <v>1</v>
      </c>
      <c r="F547" s="376"/>
      <c r="G547" s="382"/>
      <c r="H547" s="377"/>
      <c r="I547" s="377"/>
      <c r="J547" s="378"/>
      <c r="K547" s="379"/>
      <c r="L547" s="380"/>
      <c r="M547" s="381"/>
    </row>
    <row r="548" spans="1:13">
      <c r="A548" s="373"/>
      <c r="B548" s="374"/>
      <c r="C548" s="375"/>
      <c r="D548" s="375"/>
      <c r="E548" s="375"/>
      <c r="F548" s="376"/>
      <c r="G548" s="382"/>
      <c r="H548" s="377"/>
      <c r="I548" s="377"/>
      <c r="J548" s="383"/>
      <c r="K548" s="384"/>
      <c r="L548" s="380"/>
      <c r="M548" s="381"/>
    </row>
    <row r="549" spans="1:13" ht="32.25" thickBot="1">
      <c r="A549" s="393" t="s">
        <v>545</v>
      </c>
      <c r="B549" s="451">
        <f>C549+D549+E549+F549</f>
        <v>1</v>
      </c>
      <c r="C549" s="418"/>
      <c r="D549" s="418"/>
      <c r="E549" s="418">
        <v>1</v>
      </c>
      <c r="F549" s="395"/>
      <c r="G549" s="453"/>
      <c r="H549" s="396">
        <f>((100*E549)/E547)-100</f>
        <v>0</v>
      </c>
      <c r="I549" s="396">
        <f>((100*B549)/B547)-100</f>
        <v>0</v>
      </c>
      <c r="J549" s="397"/>
      <c r="K549" s="417"/>
      <c r="L549" s="399"/>
      <c r="M549" s="400"/>
    </row>
    <row r="550" spans="1:13">
      <c r="A550" s="820" t="s">
        <v>763</v>
      </c>
      <c r="B550" s="821"/>
      <c r="C550" s="821"/>
      <c r="D550" s="821"/>
      <c r="E550" s="821"/>
      <c r="F550" s="821"/>
      <c r="G550" s="821"/>
      <c r="H550" s="821"/>
      <c r="I550" s="821"/>
      <c r="J550" s="821"/>
      <c r="K550" s="821"/>
      <c r="L550" s="821"/>
      <c r="M550" s="822"/>
    </row>
    <row r="551" spans="1:13">
      <c r="A551" s="373" t="s">
        <v>542</v>
      </c>
      <c r="B551" s="415">
        <f>C551+D551+E551</f>
        <v>1.5</v>
      </c>
      <c r="C551" s="376"/>
      <c r="D551" s="376"/>
      <c r="E551" s="376">
        <v>1.5</v>
      </c>
      <c r="F551" s="376"/>
      <c r="G551" s="382"/>
      <c r="H551" s="377"/>
      <c r="I551" s="377"/>
      <c r="J551" s="378"/>
      <c r="K551" s="379"/>
      <c r="L551" s="380"/>
      <c r="M551" s="381"/>
    </row>
    <row r="552" spans="1:13">
      <c r="A552" s="373"/>
      <c r="B552" s="415"/>
      <c r="C552" s="376"/>
      <c r="D552" s="376"/>
      <c r="E552" s="376"/>
      <c r="F552" s="376"/>
      <c r="G552" s="382"/>
      <c r="H552" s="377"/>
      <c r="I552" s="377"/>
      <c r="J552" s="383"/>
      <c r="K552" s="384"/>
      <c r="L552" s="380"/>
      <c r="M552" s="381"/>
    </row>
    <row r="553" spans="1:13" ht="32.25" thickBot="1">
      <c r="A553" s="385" t="s">
        <v>545</v>
      </c>
      <c r="B553" s="374">
        <f>C553+D553+E553+F553</f>
        <v>1</v>
      </c>
      <c r="C553" s="387"/>
      <c r="D553" s="387"/>
      <c r="E553" s="387">
        <v>1</v>
      </c>
      <c r="F553" s="410"/>
      <c r="G553" s="459"/>
      <c r="H553" s="388">
        <f>((100*E553)/E551)-100</f>
        <v>-33.333333333333329</v>
      </c>
      <c r="I553" s="388">
        <f>((100*B553)/B551)-100</f>
        <v>-33.333333333333329</v>
      </c>
      <c r="J553" s="389"/>
      <c r="K553" s="407"/>
      <c r="L553" s="391"/>
      <c r="M553" s="392"/>
    </row>
    <row r="554" spans="1:13" ht="24.75" customHeight="1" thickBot="1">
      <c r="A554" s="811" t="s">
        <v>764</v>
      </c>
      <c r="B554" s="812"/>
      <c r="C554" s="812"/>
      <c r="D554" s="812"/>
      <c r="E554" s="812"/>
      <c r="F554" s="812"/>
      <c r="G554" s="812"/>
      <c r="H554" s="812"/>
      <c r="I554" s="812"/>
      <c r="J554" s="812"/>
      <c r="K554" s="812"/>
      <c r="L554" s="812"/>
      <c r="M554" s="813"/>
    </row>
    <row r="555" spans="1:13">
      <c r="A555" s="470" t="s">
        <v>542</v>
      </c>
      <c r="B555" s="533">
        <f>C555+D555+E555</f>
        <v>11863</v>
      </c>
      <c r="C555" s="479">
        <f>C551+C547+C543+C539+C535+C531+C527+C523+C519+C514+C510+C502+C498+C492+C485+C479+C474+C466+C460+C456+C451+C446+C442+C433</f>
        <v>7595.8</v>
      </c>
      <c r="D555" s="479">
        <f>D551+D547+D543+D539+D535+D531+D527+D523+D519+D514+D510+D502+D498+D492+D485+D479+D474+D466+D460+D456+D451+D446+D442+D433</f>
        <v>111.39999999999999</v>
      </c>
      <c r="E555" s="479">
        <f>E551+E547+E543+E539+E535+E531+E527+E523+E519+E514+E510+E502+E498+E492+E485+E479+E474+E466+E460+E456+E451+E446+E442+E433</f>
        <v>4155.8</v>
      </c>
      <c r="F555" s="479"/>
      <c r="G555" s="479"/>
      <c r="H555" s="585"/>
      <c r="I555" s="585"/>
      <c r="J555" s="471"/>
      <c r="K555" s="518"/>
      <c r="L555" s="519"/>
      <c r="M555" s="520"/>
    </row>
    <row r="556" spans="1:13">
      <c r="A556" s="475"/>
      <c r="B556" s="486"/>
      <c r="C556" s="487"/>
      <c r="D556" s="487"/>
      <c r="E556" s="487"/>
      <c r="F556" s="487"/>
      <c r="G556" s="487"/>
      <c r="H556" s="535"/>
      <c r="I556" s="535"/>
      <c r="J556" s="487"/>
      <c r="K556" s="525"/>
      <c r="L556" s="525"/>
      <c r="M556" s="526"/>
    </row>
    <row r="557" spans="1:13" ht="32.25" thickBot="1">
      <c r="A557" s="465" t="s">
        <v>545</v>
      </c>
      <c r="B557" s="894">
        <f>C557+D557+E557+F557</f>
        <v>13326.235000000001</v>
      </c>
      <c r="C557" s="467">
        <f>C553+C549+C545+C541+C537+C533+C529+C525+C521+C516+C512+C504+C500+C495+C488+C481+C476+C470+C463+C458+C453+C448+C444+C436+C508</f>
        <v>8350.7000000000007</v>
      </c>
      <c r="D557" s="467">
        <f>D553+D549+D545+D541+D537+D533+D529+D525+D521+D516+D512+D504+D500+D495+D488+D481+D476+D470+D463+D458+D453+D448+D444+D436+D508</f>
        <v>122.19999999999999</v>
      </c>
      <c r="E557" s="467">
        <f>E553+E549+E545+E541+E537+E533+E529+E525+E521+E516+E512+E504+E500+E495+E488+E481+E476+E470+E463+E458+E453+E448+E444+E436+E508</f>
        <v>4807.5999999999995</v>
      </c>
      <c r="F557" s="490">
        <f>F553+F549+F545+F541+F537+F533+F529+F525+F521+F516+F512+F504+F500+F495+F488+F481+F476+F470+F463+F458+F453+F448+F444+F436+F508</f>
        <v>45.734999999999999</v>
      </c>
      <c r="G557" s="467">
        <f>C557/C555*100-100</f>
        <v>9.9383870033439479</v>
      </c>
      <c r="H557" s="467">
        <f>((100*E557)/E555)-100</f>
        <v>15.684104143606504</v>
      </c>
      <c r="I557" s="467">
        <f>((100*B557)/B555)-100</f>
        <v>12.334443226839753</v>
      </c>
      <c r="J557" s="467"/>
      <c r="K557" s="529"/>
      <c r="L557" s="529"/>
      <c r="M557" s="530"/>
    </row>
    <row r="558" spans="1:13" ht="18.75" customHeight="1">
      <c r="A558" s="823" t="s">
        <v>765</v>
      </c>
      <c r="B558" s="824"/>
      <c r="C558" s="824"/>
      <c r="D558" s="824"/>
      <c r="E558" s="824"/>
      <c r="F558" s="824"/>
      <c r="G558" s="824"/>
      <c r="H558" s="824"/>
      <c r="I558" s="824"/>
      <c r="J558" s="824"/>
      <c r="K558" s="824"/>
      <c r="L558" s="824"/>
      <c r="M558" s="825"/>
    </row>
    <row r="559" spans="1:13" ht="11.25" customHeight="1">
      <c r="A559" s="531"/>
      <c r="B559" s="684"/>
      <c r="C559" s="685"/>
      <c r="D559" s="538"/>
      <c r="E559" s="538"/>
      <c r="F559" s="538"/>
      <c r="G559" s="538"/>
      <c r="H559" s="826"/>
      <c r="I559" s="826"/>
      <c r="J559" s="826"/>
      <c r="K559" s="826"/>
      <c r="L559" s="826"/>
      <c r="M559" s="827"/>
    </row>
    <row r="560" spans="1:13">
      <c r="A560" s="817" t="s">
        <v>766</v>
      </c>
      <c r="B560" s="818"/>
      <c r="C560" s="818"/>
      <c r="D560" s="818"/>
      <c r="E560" s="818"/>
      <c r="F560" s="818"/>
      <c r="G560" s="818"/>
      <c r="H560" s="818"/>
      <c r="I560" s="818"/>
      <c r="J560" s="818"/>
      <c r="K560" s="818"/>
      <c r="L560" s="818"/>
      <c r="M560" s="819"/>
    </row>
    <row r="561" spans="1:13">
      <c r="A561" s="373" t="s">
        <v>542</v>
      </c>
      <c r="B561" s="374">
        <f>C561+D561+E561</f>
        <v>960</v>
      </c>
      <c r="C561" s="375"/>
      <c r="D561" s="375"/>
      <c r="E561" s="375">
        <v>960</v>
      </c>
      <c r="F561" s="376"/>
      <c r="G561" s="382"/>
      <c r="H561" s="377"/>
      <c r="I561" s="377"/>
      <c r="J561" s="378"/>
      <c r="K561" s="379"/>
      <c r="L561" s="380"/>
      <c r="M561" s="381"/>
    </row>
    <row r="562" spans="1:13">
      <c r="A562" s="373"/>
      <c r="B562" s="374"/>
      <c r="C562" s="375"/>
      <c r="D562" s="375"/>
      <c r="E562" s="375"/>
      <c r="F562" s="376"/>
      <c r="G562" s="382"/>
      <c r="H562" s="377"/>
      <c r="I562" s="377"/>
      <c r="J562" s="383"/>
      <c r="K562" s="384"/>
      <c r="L562" s="380"/>
      <c r="M562" s="381"/>
    </row>
    <row r="563" spans="1:13" ht="32.25" thickBot="1">
      <c r="A563" s="393" t="s">
        <v>545</v>
      </c>
      <c r="B563" s="451">
        <f t="shared" ref="B563" si="16">C563+D563+E563</f>
        <v>670</v>
      </c>
      <c r="C563" s="418"/>
      <c r="D563" s="418"/>
      <c r="E563" s="418">
        <v>670</v>
      </c>
      <c r="F563" s="395"/>
      <c r="G563" s="453"/>
      <c r="H563" s="419">
        <f>((100*E563)/E561)-100</f>
        <v>-30.208333333333329</v>
      </c>
      <c r="I563" s="419">
        <f>((100*B563)/B561)-100</f>
        <v>-30.208333333333329</v>
      </c>
      <c r="J563" s="397"/>
      <c r="K563" s="417"/>
      <c r="L563" s="399"/>
      <c r="M563" s="400"/>
    </row>
    <row r="564" spans="1:13">
      <c r="A564" s="820" t="s">
        <v>767</v>
      </c>
      <c r="B564" s="821"/>
      <c r="C564" s="821"/>
      <c r="D564" s="821"/>
      <c r="E564" s="821"/>
      <c r="F564" s="821"/>
      <c r="G564" s="821"/>
      <c r="H564" s="821"/>
      <c r="I564" s="821"/>
      <c r="J564" s="821"/>
      <c r="K564" s="821"/>
      <c r="L564" s="821"/>
      <c r="M564" s="822"/>
    </row>
    <row r="565" spans="1:13">
      <c r="A565" s="373" t="s">
        <v>542</v>
      </c>
      <c r="B565" s="374">
        <f>C565+D565+E565</f>
        <v>588</v>
      </c>
      <c r="C565" s="375"/>
      <c r="D565" s="375"/>
      <c r="E565" s="375">
        <v>588</v>
      </c>
      <c r="F565" s="376"/>
      <c r="G565" s="382"/>
      <c r="H565" s="377"/>
      <c r="I565" s="377"/>
      <c r="J565" s="378"/>
      <c r="K565" s="379"/>
      <c r="L565" s="380"/>
      <c r="M565" s="381"/>
    </row>
    <row r="566" spans="1:13">
      <c r="A566" s="373"/>
      <c r="B566" s="374"/>
      <c r="C566" s="375"/>
      <c r="D566" s="375"/>
      <c r="E566" s="375"/>
      <c r="F566" s="376"/>
      <c r="G566" s="382"/>
      <c r="H566" s="377"/>
      <c r="I566" s="377"/>
      <c r="J566" s="383"/>
      <c r="K566" s="384"/>
      <c r="L566" s="380"/>
      <c r="M566" s="381"/>
    </row>
    <row r="567" spans="1:13" ht="32.25" thickBot="1">
      <c r="A567" s="393" t="s">
        <v>545</v>
      </c>
      <c r="B567" s="451">
        <f t="shared" ref="B567" si="17">C567+D567+E567</f>
        <v>460</v>
      </c>
      <c r="C567" s="418"/>
      <c r="D567" s="418"/>
      <c r="E567" s="418">
        <v>460</v>
      </c>
      <c r="F567" s="395"/>
      <c r="G567" s="453"/>
      <c r="H567" s="419">
        <f>((100*E567)/E565)-100</f>
        <v>-21.768707482993193</v>
      </c>
      <c r="I567" s="419">
        <f>((100*B567)/B565)-100</f>
        <v>-21.768707482993193</v>
      </c>
      <c r="J567" s="397"/>
      <c r="K567" s="417"/>
      <c r="L567" s="399"/>
      <c r="M567" s="400"/>
    </row>
    <row r="568" spans="1:13">
      <c r="A568" s="820" t="s">
        <v>768</v>
      </c>
      <c r="B568" s="821"/>
      <c r="C568" s="821"/>
      <c r="D568" s="821"/>
      <c r="E568" s="821"/>
      <c r="F568" s="821"/>
      <c r="G568" s="821"/>
      <c r="H568" s="821"/>
      <c r="I568" s="821"/>
      <c r="J568" s="821"/>
      <c r="K568" s="821"/>
      <c r="L568" s="821"/>
      <c r="M568" s="822"/>
    </row>
    <row r="569" spans="1:13" ht="83.25" customHeight="1">
      <c r="A569" s="373" t="s">
        <v>542</v>
      </c>
      <c r="B569" s="374">
        <f>C569+D569+E569</f>
        <v>220</v>
      </c>
      <c r="C569" s="375"/>
      <c r="D569" s="375"/>
      <c r="E569" s="375">
        <v>220</v>
      </c>
      <c r="F569" s="376"/>
      <c r="G569" s="382"/>
      <c r="H569" s="377"/>
      <c r="I569" s="377"/>
      <c r="J569" s="378"/>
      <c r="K569" s="511" t="s">
        <v>769</v>
      </c>
      <c r="L569" s="380"/>
      <c r="M569" s="381"/>
    </row>
    <row r="570" spans="1:13">
      <c r="A570" s="373"/>
      <c r="B570" s="374"/>
      <c r="C570" s="375"/>
      <c r="D570" s="375"/>
      <c r="E570" s="375"/>
      <c r="F570" s="376"/>
      <c r="G570" s="382"/>
      <c r="H570" s="377"/>
      <c r="I570" s="377"/>
      <c r="J570" s="383"/>
      <c r="K570" s="384"/>
      <c r="L570" s="380"/>
      <c r="M570" s="381"/>
    </row>
    <row r="571" spans="1:13" ht="32.25" thickBot="1">
      <c r="A571" s="393" t="s">
        <v>545</v>
      </c>
      <c r="B571" s="451">
        <f t="shared" ref="B571" si="18">C571+D571+E571</f>
        <v>220</v>
      </c>
      <c r="C571" s="418"/>
      <c r="D571" s="418"/>
      <c r="E571" s="418">
        <v>220</v>
      </c>
      <c r="F571" s="395"/>
      <c r="G571" s="453"/>
      <c r="H571" s="396">
        <f>((100*E571)/E569)-100</f>
        <v>0</v>
      </c>
      <c r="I571" s="396">
        <f>((100*B571)/B569)-100</f>
        <v>0</v>
      </c>
      <c r="J571" s="397"/>
      <c r="K571" s="417"/>
      <c r="L571" s="399"/>
      <c r="M571" s="400"/>
    </row>
    <row r="572" spans="1:13">
      <c r="A572" s="820" t="s">
        <v>770</v>
      </c>
      <c r="B572" s="821"/>
      <c r="C572" s="821"/>
      <c r="D572" s="821"/>
      <c r="E572" s="821"/>
      <c r="F572" s="821"/>
      <c r="G572" s="821"/>
      <c r="H572" s="821"/>
      <c r="I572" s="821"/>
      <c r="J572" s="821"/>
      <c r="K572" s="821"/>
      <c r="L572" s="821"/>
      <c r="M572" s="822"/>
    </row>
    <row r="573" spans="1:13">
      <c r="A573" s="373" t="s">
        <v>542</v>
      </c>
      <c r="B573" s="374">
        <f>C573+D573+E573</f>
        <v>48</v>
      </c>
      <c r="C573" s="375"/>
      <c r="D573" s="375"/>
      <c r="E573" s="375">
        <v>48</v>
      </c>
      <c r="F573" s="376"/>
      <c r="G573" s="382"/>
      <c r="H573" s="377"/>
      <c r="I573" s="377"/>
      <c r="J573" s="378"/>
      <c r="K573" s="379"/>
      <c r="L573" s="380"/>
      <c r="M573" s="381"/>
    </row>
    <row r="574" spans="1:13">
      <c r="A574" s="373"/>
      <c r="B574" s="374"/>
      <c r="C574" s="375"/>
      <c r="D574" s="375"/>
      <c r="E574" s="375"/>
      <c r="F574" s="376"/>
      <c r="G574" s="382"/>
      <c r="H574" s="377"/>
      <c r="I574" s="377"/>
      <c r="J574" s="383"/>
      <c r="K574" s="384"/>
      <c r="L574" s="380"/>
      <c r="M574" s="381"/>
    </row>
    <row r="575" spans="1:13" ht="32.25" thickBot="1">
      <c r="A575" s="393" t="s">
        <v>545</v>
      </c>
      <c r="B575" s="451">
        <f t="shared" ref="B575" si="19">C575+D575+E575</f>
        <v>50</v>
      </c>
      <c r="C575" s="418"/>
      <c r="D575" s="418"/>
      <c r="E575" s="418">
        <v>50</v>
      </c>
      <c r="F575" s="395"/>
      <c r="G575" s="453"/>
      <c r="H575" s="419">
        <f>((100*E575)/E573)-100</f>
        <v>4.1666666666666714</v>
      </c>
      <c r="I575" s="419">
        <f>((100*B575)/B573)-100</f>
        <v>4.1666666666666714</v>
      </c>
      <c r="J575" s="397"/>
      <c r="K575" s="417"/>
      <c r="L575" s="399"/>
      <c r="M575" s="400"/>
    </row>
    <row r="576" spans="1:13">
      <c r="A576" s="820" t="s">
        <v>771</v>
      </c>
      <c r="B576" s="821"/>
      <c r="C576" s="821"/>
      <c r="D576" s="821"/>
      <c r="E576" s="821"/>
      <c r="F576" s="821"/>
      <c r="G576" s="821"/>
      <c r="H576" s="821"/>
      <c r="I576" s="821"/>
      <c r="J576" s="821"/>
      <c r="K576" s="821"/>
      <c r="L576" s="821"/>
      <c r="M576" s="822"/>
    </row>
    <row r="577" spans="1:13">
      <c r="A577" s="373" t="s">
        <v>542</v>
      </c>
      <c r="B577" s="374">
        <f>C577+D577+E577</f>
        <v>50</v>
      </c>
      <c r="C577" s="375"/>
      <c r="D577" s="375"/>
      <c r="E577" s="375">
        <v>50</v>
      </c>
      <c r="F577" s="376"/>
      <c r="G577" s="382"/>
      <c r="H577" s="377"/>
      <c r="I577" s="377"/>
      <c r="J577" s="378"/>
      <c r="K577" s="379"/>
      <c r="L577" s="380"/>
      <c r="M577" s="381"/>
    </row>
    <row r="578" spans="1:13">
      <c r="A578" s="373"/>
      <c r="B578" s="374"/>
      <c r="C578" s="375"/>
      <c r="D578" s="375"/>
      <c r="E578" s="375"/>
      <c r="F578" s="376"/>
      <c r="G578" s="382"/>
      <c r="H578" s="377"/>
      <c r="I578" s="377"/>
      <c r="J578" s="383"/>
      <c r="K578" s="384"/>
      <c r="L578" s="380"/>
      <c r="M578" s="381"/>
    </row>
    <row r="579" spans="1:13" ht="32.25" thickBot="1">
      <c r="A579" s="393" t="s">
        <v>545</v>
      </c>
      <c r="B579" s="451">
        <f t="shared" ref="B579" si="20">C579+D579+E579</f>
        <v>200</v>
      </c>
      <c r="C579" s="418"/>
      <c r="D579" s="418"/>
      <c r="E579" s="418">
        <v>200</v>
      </c>
      <c r="F579" s="395"/>
      <c r="G579" s="453"/>
      <c r="H579" s="419">
        <f>((100*E579)/E577)-100</f>
        <v>300</v>
      </c>
      <c r="I579" s="419">
        <f>((100*B579)/B577)-100</f>
        <v>300</v>
      </c>
      <c r="J579" s="397"/>
      <c r="K579" s="417"/>
      <c r="L579" s="399"/>
      <c r="M579" s="400"/>
    </row>
    <row r="580" spans="1:13">
      <c r="A580" s="820" t="s">
        <v>772</v>
      </c>
      <c r="B580" s="821"/>
      <c r="C580" s="821"/>
      <c r="D580" s="821"/>
      <c r="E580" s="821"/>
      <c r="F580" s="821"/>
      <c r="G580" s="821"/>
      <c r="H580" s="821"/>
      <c r="I580" s="821"/>
      <c r="J580" s="821"/>
      <c r="K580" s="821"/>
      <c r="L580" s="821"/>
      <c r="M580" s="822"/>
    </row>
    <row r="581" spans="1:13">
      <c r="A581" s="373" t="s">
        <v>542</v>
      </c>
      <c r="B581" s="374">
        <f>C581+D581+E581</f>
        <v>144</v>
      </c>
      <c r="C581" s="375"/>
      <c r="D581" s="375"/>
      <c r="E581" s="375">
        <v>144</v>
      </c>
      <c r="F581" s="376"/>
      <c r="G581" s="382"/>
      <c r="H581" s="377"/>
      <c r="I581" s="377"/>
      <c r="J581" s="378">
        <v>44</v>
      </c>
      <c r="K581" s="379" t="s">
        <v>773</v>
      </c>
      <c r="L581" s="380"/>
      <c r="M581" s="381"/>
    </row>
    <row r="582" spans="1:13">
      <c r="A582" s="373"/>
      <c r="B582" s="374"/>
      <c r="C582" s="375"/>
      <c r="D582" s="375"/>
      <c r="E582" s="375"/>
      <c r="F582" s="376"/>
      <c r="G582" s="382"/>
      <c r="H582" s="377"/>
      <c r="I582" s="377"/>
      <c r="J582" s="383"/>
      <c r="K582" s="384"/>
      <c r="L582" s="380"/>
      <c r="M582" s="381"/>
    </row>
    <row r="583" spans="1:13" ht="32.25" thickBot="1">
      <c r="A583" s="385" t="s">
        <v>545</v>
      </c>
      <c r="B583" s="386">
        <f t="shared" ref="B583" si="21">C583+D583+E583</f>
        <v>110</v>
      </c>
      <c r="C583" s="387"/>
      <c r="D583" s="387"/>
      <c r="E583" s="387">
        <v>110</v>
      </c>
      <c r="F583" s="410"/>
      <c r="G583" s="459"/>
      <c r="H583" s="388">
        <f>((100*E583)/E581)-100</f>
        <v>-23.611111111111114</v>
      </c>
      <c r="I583" s="388">
        <f>((100*B583)/B581)-100</f>
        <v>-23.611111111111114</v>
      </c>
      <c r="J583" s="389"/>
      <c r="K583" s="407"/>
      <c r="L583" s="391"/>
      <c r="M583" s="392"/>
    </row>
    <row r="584" spans="1:13" ht="24" customHeight="1" thickBot="1">
      <c r="A584" s="811" t="s">
        <v>774</v>
      </c>
      <c r="B584" s="812"/>
      <c r="C584" s="812"/>
      <c r="D584" s="812"/>
      <c r="E584" s="812"/>
      <c r="F584" s="812"/>
      <c r="G584" s="812"/>
      <c r="H584" s="812"/>
      <c r="I584" s="812"/>
      <c r="J584" s="812"/>
      <c r="K584" s="812"/>
      <c r="L584" s="812"/>
      <c r="M584" s="813"/>
    </row>
    <row r="585" spans="1:13">
      <c r="A585" s="470" t="s">
        <v>542</v>
      </c>
      <c r="B585" s="533">
        <f>C585+D585+E585</f>
        <v>2010</v>
      </c>
      <c r="C585" s="471">
        <f>C581+C577+C573+C569+C565+C561</f>
        <v>0</v>
      </c>
      <c r="D585" s="471">
        <f>D581+D577+D573+D569+D565+D561</f>
        <v>0</v>
      </c>
      <c r="E585" s="471">
        <f>E581+E577+E573+E569+E565+E561</f>
        <v>2010</v>
      </c>
      <c r="F585" s="479"/>
      <c r="G585" s="479"/>
      <c r="H585" s="585"/>
      <c r="I585" s="585"/>
      <c r="J585" s="471"/>
      <c r="K585" s="518"/>
      <c r="L585" s="519"/>
      <c r="M585" s="520"/>
    </row>
    <row r="586" spans="1:13">
      <c r="A586" s="475"/>
      <c r="B586" s="434"/>
      <c r="C586" s="433"/>
      <c r="D586" s="433"/>
      <c r="E586" s="433"/>
      <c r="F586" s="487"/>
      <c r="G586" s="487"/>
      <c r="H586" s="535"/>
      <c r="I586" s="535"/>
      <c r="J586" s="487"/>
      <c r="K586" s="525"/>
      <c r="L586" s="525"/>
      <c r="M586" s="526"/>
    </row>
    <row r="587" spans="1:13" ht="32.25" thickBot="1">
      <c r="A587" s="586" t="s">
        <v>545</v>
      </c>
      <c r="B587" s="901">
        <f t="shared" ref="B587:E587" si="22">B583+B579+B575+B571+B567+B563</f>
        <v>1710</v>
      </c>
      <c r="C587" s="587">
        <f t="shared" si="22"/>
        <v>0</v>
      </c>
      <c r="D587" s="587">
        <f t="shared" si="22"/>
        <v>0</v>
      </c>
      <c r="E587" s="587">
        <f t="shared" si="22"/>
        <v>1710</v>
      </c>
      <c r="F587" s="588">
        <f>F583+F579+F575+F571+F567+F563</f>
        <v>0</v>
      </c>
      <c r="G587" s="588"/>
      <c r="H587" s="587">
        <f>((100*E587)/E585)-100</f>
        <v>-14.925373134328353</v>
      </c>
      <c r="I587" s="587">
        <f>((100*B587)/B585)-100</f>
        <v>-14.925373134328353</v>
      </c>
      <c r="J587" s="588"/>
      <c r="K587" s="589"/>
      <c r="L587" s="589"/>
      <c r="M587" s="590"/>
    </row>
    <row r="588" spans="1:13" ht="24.75" customHeight="1" thickBot="1">
      <c r="A588" s="814" t="s">
        <v>775</v>
      </c>
      <c r="B588" s="815"/>
      <c r="C588" s="815"/>
      <c r="D588" s="815"/>
      <c r="E588" s="815"/>
      <c r="F588" s="815"/>
      <c r="G588" s="815"/>
      <c r="H588" s="815"/>
      <c r="I588" s="815"/>
      <c r="J588" s="815"/>
      <c r="K588" s="815"/>
      <c r="L588" s="815"/>
      <c r="M588" s="816"/>
    </row>
    <row r="589" spans="1:13">
      <c r="A589" s="591" t="s">
        <v>542</v>
      </c>
      <c r="B589" s="592">
        <f>C589+D589+E589</f>
        <v>47001.009999999995</v>
      </c>
      <c r="C589" s="593">
        <f>C585+C555+C427+C347+C333+C228+C210+C145</f>
        <v>23038.6</v>
      </c>
      <c r="D589" s="593">
        <f>D585+D555+D427+D347+D333+D228+D210+D145</f>
        <v>334.90999999999997</v>
      </c>
      <c r="E589" s="593">
        <f>E585+E555+E427+E347+E333+E228+E210+E145</f>
        <v>23627.5</v>
      </c>
      <c r="F589" s="593"/>
      <c r="G589" s="482"/>
      <c r="H589" s="481"/>
      <c r="I589" s="481"/>
      <c r="J589" s="594"/>
      <c r="K589" s="595"/>
      <c r="L589" s="596"/>
      <c r="M589" s="597"/>
    </row>
    <row r="590" spans="1:13">
      <c r="A590" s="373"/>
      <c r="B590" s="415"/>
      <c r="C590" s="376"/>
      <c r="D590" s="376"/>
      <c r="E590" s="375"/>
      <c r="F590" s="375"/>
      <c r="G590" s="414"/>
      <c r="H590" s="377"/>
      <c r="I590" s="377"/>
      <c r="J590" s="383"/>
      <c r="K590" s="384"/>
      <c r="L590" s="380"/>
      <c r="M590" s="381"/>
    </row>
    <row r="591" spans="1:13" ht="31.5">
      <c r="A591" s="598" t="s">
        <v>545</v>
      </c>
      <c r="B591" s="599">
        <f>C591+D591+E591+F591</f>
        <v>51197.593999999997</v>
      </c>
      <c r="C591" s="600">
        <f>C587+C557+C429+C349+C335+C230+C212+C146</f>
        <v>25361.1</v>
      </c>
      <c r="D591" s="600">
        <f>D587+D557+D429+D349+D335+D230+D212+D146</f>
        <v>368.79999999999995</v>
      </c>
      <c r="E591" s="601">
        <f>E587+E557+E429+E349+E335+E230+E212+E146</f>
        <v>25309.458999999999</v>
      </c>
      <c r="F591" s="601">
        <f>F587+F557+F429+F349+F335+F230+F212+F146</f>
        <v>158.23499999999999</v>
      </c>
      <c r="G591" s="600">
        <f>C591/C589*100-100</f>
        <v>10.080907694043901</v>
      </c>
      <c r="H591" s="600">
        <f>((100*E591)/E589)-100</f>
        <v>7.1186498783197436</v>
      </c>
      <c r="I591" s="600">
        <f>((100*B591)/B589)-100</f>
        <v>8.9287102553753641</v>
      </c>
      <c r="J591" s="602"/>
      <c r="K591" s="603"/>
      <c r="L591" s="603"/>
      <c r="M591" s="604"/>
    </row>
    <row r="592" spans="1:13">
      <c r="A592" s="680"/>
      <c r="B592" s="679"/>
      <c r="C592" s="605"/>
      <c r="D592" s="605"/>
      <c r="E592" s="605"/>
      <c r="F592" s="605"/>
      <c r="G592" s="605"/>
      <c r="H592" s="605"/>
      <c r="I592" s="605"/>
      <c r="J592" s="605"/>
      <c r="K592" s="605"/>
      <c r="L592" s="605"/>
      <c r="M592" s="606"/>
    </row>
    <row r="593" spans="1:13" ht="47.25">
      <c r="A593" s="413" t="s">
        <v>776</v>
      </c>
      <c r="B593" s="374">
        <f>C593+D593+E593</f>
        <v>3147</v>
      </c>
      <c r="C593" s="375">
        <f>C206+C202+C198+C194</f>
        <v>0</v>
      </c>
      <c r="D593" s="375">
        <f>D206+D202+D198+D194</f>
        <v>0</v>
      </c>
      <c r="E593" s="375">
        <f>E206+E202+E198+E194</f>
        <v>3147</v>
      </c>
      <c r="F593" s="376"/>
      <c r="G593" s="382"/>
      <c r="H593" s="377"/>
      <c r="I593" s="377"/>
      <c r="J593" s="378"/>
      <c r="K593" s="379"/>
      <c r="L593" s="380"/>
      <c r="M593" s="381"/>
    </row>
    <row r="594" spans="1:13" ht="63">
      <c r="A594" s="413" t="s">
        <v>777</v>
      </c>
      <c r="B594" s="415">
        <f>C594+D594+E594</f>
        <v>3887.2</v>
      </c>
      <c r="C594" s="376">
        <f>C208+C204+C200+C196</f>
        <v>0</v>
      </c>
      <c r="D594" s="376">
        <f>D208+D204+D200+D196</f>
        <v>0</v>
      </c>
      <c r="E594" s="376">
        <f>E208+E204+E200+E196</f>
        <v>3887.2</v>
      </c>
      <c r="F594" s="376"/>
      <c r="G594" s="377"/>
      <c r="H594" s="414">
        <f>((100*E594)/E593)-100</f>
        <v>23.520813473149033</v>
      </c>
      <c r="I594" s="377"/>
      <c r="J594" s="383"/>
      <c r="K594" s="384"/>
      <c r="L594" s="380"/>
      <c r="M594" s="381"/>
    </row>
    <row r="595" spans="1:13">
      <c r="A595" s="607"/>
      <c r="B595" s="608"/>
      <c r="C595" s="609"/>
      <c r="D595" s="609"/>
      <c r="E595" s="609"/>
      <c r="F595" s="609"/>
      <c r="G595" s="609"/>
      <c r="H595" s="610"/>
      <c r="I595" s="610"/>
      <c r="J595" s="611"/>
      <c r="K595" s="612"/>
      <c r="L595" s="613"/>
      <c r="M595" s="614"/>
    </row>
    <row r="596" spans="1:13" ht="78.75">
      <c r="A596" s="413" t="s">
        <v>778</v>
      </c>
      <c r="B596" s="374">
        <f>C596+D596+E596</f>
        <v>43854.009999999995</v>
      </c>
      <c r="C596" s="375">
        <f t="shared" ref="C596:D596" si="23">C589-C593</f>
        <v>23038.6</v>
      </c>
      <c r="D596" s="375">
        <f t="shared" si="23"/>
        <v>334.90999999999997</v>
      </c>
      <c r="E596" s="375">
        <f>E589-E593</f>
        <v>20480.5</v>
      </c>
      <c r="F596" s="375"/>
      <c r="G596" s="414"/>
      <c r="H596" s="377"/>
      <c r="I596" s="377"/>
      <c r="J596" s="378"/>
      <c r="K596" s="379"/>
      <c r="L596" s="380"/>
      <c r="M596" s="381"/>
    </row>
    <row r="597" spans="1:13" ht="95.25" thickBot="1">
      <c r="A597" s="393" t="s">
        <v>779</v>
      </c>
      <c r="B597" s="394">
        <f>C597+D597+E597</f>
        <v>47152.159</v>
      </c>
      <c r="C597" s="418">
        <f t="shared" ref="C597:D597" si="24">C591-C594</f>
        <v>25361.1</v>
      </c>
      <c r="D597" s="418">
        <f t="shared" si="24"/>
        <v>368.79999999999995</v>
      </c>
      <c r="E597" s="418">
        <f>E591-E594</f>
        <v>21422.258999999998</v>
      </c>
      <c r="F597" s="418"/>
      <c r="G597" s="419">
        <f>C597/C596*100-100</f>
        <v>10.080907694043901</v>
      </c>
      <c r="H597" s="419">
        <f>((100*E597)/E596)-100</f>
        <v>4.5983203535069919</v>
      </c>
      <c r="I597" s="396"/>
      <c r="J597" s="397"/>
      <c r="K597" s="417"/>
      <c r="L597" s="399"/>
      <c r="M597" s="400"/>
    </row>
    <row r="600" spans="1:13">
      <c r="A600" s="615"/>
      <c r="B600" s="616"/>
      <c r="E600" s="615"/>
    </row>
    <row r="601" spans="1:13">
      <c r="A601" s="615"/>
      <c r="B601" s="620"/>
      <c r="C601" s="621"/>
      <c r="D601" s="621"/>
      <c r="E601" s="620"/>
    </row>
    <row r="604" spans="1:13">
      <c r="G604" s="622"/>
      <c r="I604" s="618"/>
      <c r="J604" s="619"/>
      <c r="K604" s="370"/>
      <c r="L604" s="619"/>
      <c r="M604" s="372"/>
    </row>
    <row r="605" spans="1:13">
      <c r="B605" s="623"/>
      <c r="E605" s="624"/>
      <c r="F605" s="624"/>
      <c r="G605" s="621"/>
    </row>
    <row r="607" spans="1:13">
      <c r="J607" s="625"/>
    </row>
    <row r="608" spans="1:13">
      <c r="E608" s="621"/>
      <c r="F608" s="621"/>
    </row>
    <row r="609" spans="5:6">
      <c r="E609" s="621"/>
      <c r="F609" s="621"/>
    </row>
  </sheetData>
  <mergeCells count="156">
    <mergeCell ref="A2:M3"/>
    <mergeCell ref="A4:A5"/>
    <mergeCell ref="B4:B5"/>
    <mergeCell ref="C4:E4"/>
    <mergeCell ref="G4:I4"/>
    <mergeCell ref="J4:J5"/>
    <mergeCell ref="K4:K5"/>
    <mergeCell ref="L4:L5"/>
    <mergeCell ref="M4:M5"/>
    <mergeCell ref="F4:F5"/>
    <mergeCell ref="A30:M30"/>
    <mergeCell ref="A34:M34"/>
    <mergeCell ref="A38:M38"/>
    <mergeCell ref="A43:M43"/>
    <mergeCell ref="A47:M47"/>
    <mergeCell ref="A51:M51"/>
    <mergeCell ref="A6:M6"/>
    <mergeCell ref="A7:M7"/>
    <mergeCell ref="A9:M9"/>
    <mergeCell ref="A14:M14"/>
    <mergeCell ref="A20:M20"/>
    <mergeCell ref="A26:M26"/>
    <mergeCell ref="A83:M83"/>
    <mergeCell ref="A87:M87"/>
    <mergeCell ref="A92:M92"/>
    <mergeCell ref="A97:M97"/>
    <mergeCell ref="A101:M101"/>
    <mergeCell ref="A105:M105"/>
    <mergeCell ref="A55:M55"/>
    <mergeCell ref="A59:M59"/>
    <mergeCell ref="A63:M63"/>
    <mergeCell ref="A68:M68"/>
    <mergeCell ref="A72:M72"/>
    <mergeCell ref="A77:M77"/>
    <mergeCell ref="A136:M136"/>
    <mergeCell ref="A140:M140"/>
    <mergeCell ref="A144:M144"/>
    <mergeCell ref="A147:M147"/>
    <mergeCell ref="A149:M149"/>
    <mergeCell ref="A153:M153"/>
    <mergeCell ref="A109:M109"/>
    <mergeCell ref="A114:M114"/>
    <mergeCell ref="A120:M120"/>
    <mergeCell ref="A124:M124"/>
    <mergeCell ref="A128:M128"/>
    <mergeCell ref="A132:M132"/>
    <mergeCell ref="A148:M148"/>
    <mergeCell ref="A181:M181"/>
    <mergeCell ref="A185:M185"/>
    <mergeCell ref="A189:M189"/>
    <mergeCell ref="A193:M193"/>
    <mergeCell ref="A197:M197"/>
    <mergeCell ref="A201:M201"/>
    <mergeCell ref="A157:M157"/>
    <mergeCell ref="A161:M161"/>
    <mergeCell ref="A165:M165"/>
    <mergeCell ref="A169:M169"/>
    <mergeCell ref="A173:M173"/>
    <mergeCell ref="A177:M177"/>
    <mergeCell ref="A223:M223"/>
    <mergeCell ref="A227:M227"/>
    <mergeCell ref="A231:M231"/>
    <mergeCell ref="H232:M232"/>
    <mergeCell ref="A233:M233"/>
    <mergeCell ref="A237:M237"/>
    <mergeCell ref="A205:M205"/>
    <mergeCell ref="A209:M209"/>
    <mergeCell ref="A213:M213"/>
    <mergeCell ref="D214:M214"/>
    <mergeCell ref="A215:M215"/>
    <mergeCell ref="A219:M219"/>
    <mergeCell ref="A265:M265"/>
    <mergeCell ref="A269:M269"/>
    <mergeCell ref="A273:M273"/>
    <mergeCell ref="A277:M277"/>
    <mergeCell ref="A282:M282"/>
    <mergeCell ref="A286:M286"/>
    <mergeCell ref="A238:M238"/>
    <mergeCell ref="A242:M242"/>
    <mergeCell ref="A246:M246"/>
    <mergeCell ref="A250:M250"/>
    <mergeCell ref="A256:M256"/>
    <mergeCell ref="A261:M261"/>
    <mergeCell ref="A314:M314"/>
    <mergeCell ref="A318:M318"/>
    <mergeCell ref="A323:M323"/>
    <mergeCell ref="A327:M327"/>
    <mergeCell ref="A331:M331"/>
    <mergeCell ref="A332:M332"/>
    <mergeCell ref="A290:M290"/>
    <mergeCell ref="A294:M294"/>
    <mergeCell ref="A298:M298"/>
    <mergeCell ref="A302:M302"/>
    <mergeCell ref="A306:M306"/>
    <mergeCell ref="A310:M310"/>
    <mergeCell ref="H351:M351"/>
    <mergeCell ref="A352:M352"/>
    <mergeCell ref="A359:M359"/>
    <mergeCell ref="A365:M365"/>
    <mergeCell ref="A374:M374"/>
    <mergeCell ref="A336:M336"/>
    <mergeCell ref="B337:M337"/>
    <mergeCell ref="A338:M338"/>
    <mergeCell ref="A342:M342"/>
    <mergeCell ref="A346:M346"/>
    <mergeCell ref="A350:M350"/>
    <mergeCell ref="A410:M410"/>
    <mergeCell ref="A414:M414"/>
    <mergeCell ref="A418:M418"/>
    <mergeCell ref="A422:M422"/>
    <mergeCell ref="A426:M426"/>
    <mergeCell ref="A430:M430"/>
    <mergeCell ref="A378:M378"/>
    <mergeCell ref="A383:M383"/>
    <mergeCell ref="A388:M388"/>
    <mergeCell ref="A393:M393"/>
    <mergeCell ref="A397:M397"/>
    <mergeCell ref="A406:M406"/>
    <mergeCell ref="A402:M402"/>
    <mergeCell ref="A455:M455"/>
    <mergeCell ref="A459:M459"/>
    <mergeCell ref="A465:M465"/>
    <mergeCell ref="A473:M473"/>
    <mergeCell ref="A478:M478"/>
    <mergeCell ref="A484:M484"/>
    <mergeCell ref="H431:L431"/>
    <mergeCell ref="A432:M432"/>
    <mergeCell ref="A441:M441"/>
    <mergeCell ref="A445:M445"/>
    <mergeCell ref="A450:M450"/>
    <mergeCell ref="A518:M518"/>
    <mergeCell ref="A522:M522"/>
    <mergeCell ref="A526:M526"/>
    <mergeCell ref="A530:M530"/>
    <mergeCell ref="A534:M534"/>
    <mergeCell ref="A538:M538"/>
    <mergeCell ref="A491:M491"/>
    <mergeCell ref="A497:M497"/>
    <mergeCell ref="A501:M501"/>
    <mergeCell ref="A505:M505"/>
    <mergeCell ref="A509:M509"/>
    <mergeCell ref="A513:M513"/>
    <mergeCell ref="A584:M584"/>
    <mergeCell ref="A588:M588"/>
    <mergeCell ref="A560:M560"/>
    <mergeCell ref="A564:M564"/>
    <mergeCell ref="A568:M568"/>
    <mergeCell ref="A572:M572"/>
    <mergeCell ref="A576:M576"/>
    <mergeCell ref="A580:M580"/>
    <mergeCell ref="A542:M542"/>
    <mergeCell ref="A546:M546"/>
    <mergeCell ref="A550:M550"/>
    <mergeCell ref="A554:M554"/>
    <mergeCell ref="A558:M558"/>
    <mergeCell ref="H559:M559"/>
  </mergeCells>
  <pageMargins left="0.23622047244094491" right="0.23622047244094491" top="0.35433070866141736" bottom="0.35433070866141736" header="0.31496062992125984" footer="0.31496062992125984"/>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93"/>
  <sheetViews>
    <sheetView zoomScaleNormal="100" workbookViewId="0">
      <selection activeCell="H1" sqref="H1"/>
    </sheetView>
  </sheetViews>
  <sheetFormatPr defaultColWidth="14.42578125" defaultRowHeight="15" customHeight="1"/>
  <cols>
    <col min="1" max="5" width="4.28515625" style="28" customWidth="1"/>
    <col min="6" max="6" width="6" style="28" customWidth="1"/>
    <col min="7" max="7" width="77" style="28" customWidth="1"/>
    <col min="8" max="8" width="26.28515625" style="28" customWidth="1"/>
    <col min="9" max="16384" width="14.42578125" style="28"/>
  </cols>
  <sheetData>
    <row r="1" spans="1:8" s="54" customFormat="1" ht="15" customHeight="1">
      <c r="H1" s="696" t="s">
        <v>413</v>
      </c>
    </row>
    <row r="2" spans="1:8" ht="36" customHeight="1">
      <c r="A2" s="738" t="s">
        <v>412</v>
      </c>
      <c r="B2" s="738"/>
      <c r="C2" s="738"/>
      <c r="D2" s="738"/>
      <c r="E2" s="738"/>
      <c r="F2" s="738"/>
      <c r="G2" s="738"/>
      <c r="H2" s="170"/>
    </row>
    <row r="3" spans="1:8" ht="14.25">
      <c r="A3" s="10"/>
      <c r="B3" s="10"/>
      <c r="C3" s="10"/>
      <c r="D3" s="10"/>
      <c r="E3" s="10"/>
      <c r="F3" s="10"/>
      <c r="G3" s="10"/>
      <c r="H3" s="27"/>
    </row>
    <row r="4" spans="1:8" ht="27" customHeight="1">
      <c r="A4" s="752" t="s">
        <v>0</v>
      </c>
      <c r="B4" s="753"/>
      <c r="C4" s="753"/>
      <c r="D4" s="754"/>
      <c r="E4" s="171" t="s">
        <v>14</v>
      </c>
      <c r="F4" s="171" t="s">
        <v>361</v>
      </c>
      <c r="G4" s="172" t="s">
        <v>15</v>
      </c>
      <c r="H4" s="172" t="s">
        <v>34</v>
      </c>
    </row>
    <row r="5" spans="1:8" ht="12.75" customHeight="1">
      <c r="A5" s="173">
        <v>1</v>
      </c>
      <c r="B5" s="174">
        <v>2</v>
      </c>
      <c r="C5" s="174"/>
      <c r="D5" s="174">
        <v>3</v>
      </c>
      <c r="E5" s="174">
        <v>4</v>
      </c>
      <c r="F5" s="174">
        <v>5</v>
      </c>
      <c r="G5" s="174">
        <v>6</v>
      </c>
      <c r="H5" s="174">
        <v>7</v>
      </c>
    </row>
    <row r="6" spans="1:8">
      <c r="A6" s="175" t="s">
        <v>4</v>
      </c>
      <c r="B6" s="176" t="s">
        <v>4</v>
      </c>
      <c r="C6" s="176" t="s">
        <v>5</v>
      </c>
      <c r="D6" s="176" t="s">
        <v>4</v>
      </c>
      <c r="E6" s="176" t="s">
        <v>16</v>
      </c>
      <c r="F6" s="176"/>
      <c r="G6" s="177" t="s">
        <v>17</v>
      </c>
      <c r="H6" s="178">
        <f>H7+H8+H9+H10</f>
        <v>41.2</v>
      </c>
    </row>
    <row r="7" spans="1:8" ht="60">
      <c r="A7" s="739"/>
      <c r="B7" s="740"/>
      <c r="C7" s="740"/>
      <c r="D7" s="740"/>
      <c r="E7" s="741"/>
      <c r="F7" s="179" t="s">
        <v>7</v>
      </c>
      <c r="G7" s="180" t="s">
        <v>18</v>
      </c>
      <c r="H7" s="181">
        <v>34</v>
      </c>
    </row>
    <row r="8" spans="1:8">
      <c r="A8" s="742"/>
      <c r="B8" s="743"/>
      <c r="C8" s="743"/>
      <c r="D8" s="743"/>
      <c r="E8" s="744"/>
      <c r="F8" s="179" t="s">
        <v>10</v>
      </c>
      <c r="G8" s="180" t="s">
        <v>19</v>
      </c>
      <c r="H8" s="181">
        <v>5</v>
      </c>
    </row>
    <row r="9" spans="1:8" ht="30">
      <c r="A9" s="742"/>
      <c r="B9" s="743"/>
      <c r="C9" s="743"/>
      <c r="D9" s="743"/>
      <c r="E9" s="744"/>
      <c r="F9" s="182" t="s">
        <v>12</v>
      </c>
      <c r="G9" s="180" t="s">
        <v>20</v>
      </c>
      <c r="H9" s="181">
        <v>2</v>
      </c>
    </row>
    <row r="10" spans="1:8">
      <c r="A10" s="745"/>
      <c r="B10" s="746"/>
      <c r="C10" s="746"/>
      <c r="D10" s="746"/>
      <c r="E10" s="747"/>
      <c r="F10" s="179" t="s">
        <v>11</v>
      </c>
      <c r="G10" s="180" t="s">
        <v>21</v>
      </c>
      <c r="H10" s="181">
        <v>0.2</v>
      </c>
    </row>
    <row r="11" spans="1:8">
      <c r="A11" s="183" t="s">
        <v>4</v>
      </c>
      <c r="B11" s="184" t="s">
        <v>6</v>
      </c>
      <c r="C11" s="184" t="s">
        <v>22</v>
      </c>
      <c r="D11" s="184" t="s">
        <v>4</v>
      </c>
      <c r="E11" s="184" t="s">
        <v>16</v>
      </c>
      <c r="F11" s="184"/>
      <c r="G11" s="185" t="s">
        <v>23</v>
      </c>
      <c r="H11" s="186">
        <v>22.2</v>
      </c>
    </row>
    <row r="12" spans="1:8" ht="15.75">
      <c r="A12" s="183" t="s">
        <v>4</v>
      </c>
      <c r="B12" s="184" t="s">
        <v>6</v>
      </c>
      <c r="C12" s="184" t="s">
        <v>22</v>
      </c>
      <c r="D12" s="184" t="s">
        <v>6</v>
      </c>
      <c r="E12" s="184" t="s">
        <v>16</v>
      </c>
      <c r="F12" s="184"/>
      <c r="G12" s="187" t="s">
        <v>24</v>
      </c>
      <c r="H12" s="188">
        <f>H13+H14+H15+H16</f>
        <v>33</v>
      </c>
    </row>
    <row r="13" spans="1:8" ht="15.75">
      <c r="A13" s="748"/>
      <c r="B13" s="740"/>
      <c r="C13" s="740"/>
      <c r="D13" s="740"/>
      <c r="E13" s="741"/>
      <c r="F13" s="179" t="s">
        <v>7</v>
      </c>
      <c r="G13" s="189" t="s">
        <v>25</v>
      </c>
      <c r="H13" s="190">
        <v>10</v>
      </c>
    </row>
    <row r="14" spans="1:8" ht="15.75">
      <c r="A14" s="742"/>
      <c r="B14" s="743"/>
      <c r="C14" s="743"/>
      <c r="D14" s="743"/>
      <c r="E14" s="744"/>
      <c r="F14" s="179" t="s">
        <v>10</v>
      </c>
      <c r="G14" s="189" t="s">
        <v>26</v>
      </c>
      <c r="H14" s="190">
        <v>4</v>
      </c>
    </row>
    <row r="15" spans="1:8" ht="15.75">
      <c r="A15" s="742"/>
      <c r="B15" s="743"/>
      <c r="C15" s="743"/>
      <c r="D15" s="743"/>
      <c r="E15" s="744"/>
      <c r="F15" s="179" t="s">
        <v>12</v>
      </c>
      <c r="G15" s="189" t="s">
        <v>35</v>
      </c>
      <c r="H15" s="190">
        <v>0.5</v>
      </c>
    </row>
    <row r="16" spans="1:8" ht="31.5">
      <c r="A16" s="745"/>
      <c r="B16" s="746"/>
      <c r="C16" s="746"/>
      <c r="D16" s="746"/>
      <c r="E16" s="747"/>
      <c r="F16" s="179" t="s">
        <v>11</v>
      </c>
      <c r="G16" s="191" t="s">
        <v>27</v>
      </c>
      <c r="H16" s="190">
        <v>18.5</v>
      </c>
    </row>
    <row r="17" spans="1:8">
      <c r="A17" s="183" t="s">
        <v>4</v>
      </c>
      <c r="B17" s="184" t="s">
        <v>9</v>
      </c>
      <c r="C17" s="184" t="s">
        <v>5</v>
      </c>
      <c r="D17" s="184" t="s">
        <v>4</v>
      </c>
      <c r="E17" s="184" t="s">
        <v>16</v>
      </c>
      <c r="F17" s="184"/>
      <c r="G17" s="185" t="s">
        <v>28</v>
      </c>
      <c r="H17" s="186">
        <f>H18</f>
        <v>45</v>
      </c>
    </row>
    <row r="18" spans="1:8">
      <c r="A18" s="749"/>
      <c r="B18" s="750"/>
      <c r="C18" s="750"/>
      <c r="D18" s="750"/>
      <c r="E18" s="751"/>
      <c r="F18" s="179" t="s">
        <v>7</v>
      </c>
      <c r="G18" s="192" t="s">
        <v>29</v>
      </c>
      <c r="H18" s="193">
        <v>45</v>
      </c>
    </row>
    <row r="19" spans="1:8">
      <c r="A19" s="183" t="s">
        <v>4</v>
      </c>
      <c r="B19" s="184" t="s">
        <v>9</v>
      </c>
      <c r="C19" s="184" t="s">
        <v>5</v>
      </c>
      <c r="D19" s="184" t="s">
        <v>6</v>
      </c>
      <c r="E19" s="184" t="s">
        <v>13</v>
      </c>
      <c r="F19" s="184"/>
      <c r="G19" s="185" t="s">
        <v>30</v>
      </c>
      <c r="H19" s="186">
        <v>60.8</v>
      </c>
    </row>
    <row r="20" spans="1:8" ht="30">
      <c r="A20" s="739"/>
      <c r="B20" s="740"/>
      <c r="C20" s="740"/>
      <c r="D20" s="740"/>
      <c r="E20" s="741"/>
      <c r="F20" s="179" t="s">
        <v>7</v>
      </c>
      <c r="G20" s="192" t="s">
        <v>498</v>
      </c>
      <c r="H20" s="181">
        <v>8</v>
      </c>
    </row>
    <row r="21" spans="1:8" ht="45">
      <c r="A21" s="742"/>
      <c r="B21" s="743"/>
      <c r="C21" s="743"/>
      <c r="D21" s="743"/>
      <c r="E21" s="744"/>
      <c r="F21" s="179" t="s">
        <v>10</v>
      </c>
      <c r="G21" s="192" t="s">
        <v>499</v>
      </c>
      <c r="H21" s="181">
        <v>5</v>
      </c>
    </row>
    <row r="22" spans="1:8">
      <c r="A22" s="742"/>
      <c r="B22" s="743"/>
      <c r="C22" s="743"/>
      <c r="D22" s="743"/>
      <c r="E22" s="744"/>
      <c r="F22" s="179" t="s">
        <v>12</v>
      </c>
      <c r="G22" s="192" t="s">
        <v>31</v>
      </c>
      <c r="H22" s="181">
        <v>7</v>
      </c>
    </row>
    <row r="23" spans="1:8" ht="30">
      <c r="A23" s="742"/>
      <c r="B23" s="743"/>
      <c r="C23" s="743"/>
      <c r="D23" s="743"/>
      <c r="E23" s="744"/>
      <c r="F23" s="179" t="s">
        <v>11</v>
      </c>
      <c r="G23" s="192" t="s">
        <v>500</v>
      </c>
      <c r="H23" s="181">
        <v>32.4</v>
      </c>
    </row>
    <row r="24" spans="1:8" ht="45">
      <c r="A24" s="742"/>
      <c r="B24" s="743"/>
      <c r="C24" s="743"/>
      <c r="D24" s="743"/>
      <c r="E24" s="744"/>
      <c r="F24" s="194">
        <v>5</v>
      </c>
      <c r="G24" s="192" t="s">
        <v>504</v>
      </c>
      <c r="H24" s="195">
        <v>3.1</v>
      </c>
    </row>
    <row r="25" spans="1:8" ht="45">
      <c r="A25" s="742"/>
      <c r="B25" s="743"/>
      <c r="C25" s="743"/>
      <c r="D25" s="743"/>
      <c r="E25" s="744"/>
      <c r="F25" s="194">
        <v>6</v>
      </c>
      <c r="G25" s="192" t="s">
        <v>501</v>
      </c>
      <c r="H25" s="195">
        <v>1.5</v>
      </c>
    </row>
    <row r="26" spans="1:8" ht="60">
      <c r="A26" s="742"/>
      <c r="B26" s="743"/>
      <c r="C26" s="743"/>
      <c r="D26" s="743"/>
      <c r="E26" s="744"/>
      <c r="F26" s="194">
        <v>7</v>
      </c>
      <c r="G26" s="192" t="s">
        <v>502</v>
      </c>
      <c r="H26" s="195">
        <v>2.4</v>
      </c>
    </row>
    <row r="27" spans="1:8" ht="45">
      <c r="A27" s="742"/>
      <c r="B27" s="743"/>
      <c r="C27" s="743"/>
      <c r="D27" s="743"/>
      <c r="E27" s="744"/>
      <c r="F27" s="194">
        <v>8</v>
      </c>
      <c r="G27" s="192" t="s">
        <v>503</v>
      </c>
      <c r="H27" s="195">
        <v>1.4</v>
      </c>
    </row>
    <row r="28" spans="1:8">
      <c r="A28" s="183" t="s">
        <v>4</v>
      </c>
      <c r="B28" s="196">
        <v>3</v>
      </c>
      <c r="C28" s="196" t="s">
        <v>5</v>
      </c>
      <c r="D28" s="196">
        <v>3</v>
      </c>
      <c r="E28" s="196" t="s">
        <v>16</v>
      </c>
      <c r="F28" s="196"/>
      <c r="G28" s="185" t="s">
        <v>32</v>
      </c>
      <c r="H28" s="197">
        <v>35</v>
      </c>
    </row>
    <row r="29" spans="1:8">
      <c r="A29" s="183" t="s">
        <v>4</v>
      </c>
      <c r="B29" s="196">
        <v>3</v>
      </c>
      <c r="C29" s="196" t="s">
        <v>5</v>
      </c>
      <c r="D29" s="196">
        <v>4</v>
      </c>
      <c r="E29" s="196" t="s">
        <v>16</v>
      </c>
      <c r="F29" s="196"/>
      <c r="G29" s="185" t="s">
        <v>105</v>
      </c>
      <c r="H29" s="198">
        <v>2</v>
      </c>
    </row>
    <row r="30" spans="1:8">
      <c r="A30" s="199"/>
      <c r="B30" s="200"/>
      <c r="C30" s="201"/>
      <c r="D30" s="201"/>
      <c r="E30" s="180"/>
      <c r="F30" s="180"/>
      <c r="G30" s="202" t="s">
        <v>33</v>
      </c>
      <c r="H30" s="203">
        <f>H6+H11+H12+H17+H19+H28+H29</f>
        <v>239.2</v>
      </c>
    </row>
    <row r="31" spans="1:8" ht="12.75">
      <c r="A31" s="204"/>
      <c r="B31" s="204"/>
      <c r="C31" s="204"/>
      <c r="D31" s="204"/>
      <c r="E31" s="204"/>
      <c r="F31" s="204"/>
      <c r="G31" s="204"/>
      <c r="H31" s="204"/>
    </row>
    <row r="32" spans="1:8" ht="14.25">
      <c r="A32" s="10"/>
      <c r="B32" s="10"/>
      <c r="C32" s="10"/>
      <c r="D32" s="10"/>
      <c r="E32" s="10"/>
      <c r="F32" s="10"/>
      <c r="G32" s="10"/>
      <c r="H32" s="10"/>
    </row>
    <row r="33" spans="1:8">
      <c r="A33" s="11"/>
      <c r="B33" s="11"/>
      <c r="C33" s="11"/>
      <c r="D33" s="11"/>
      <c r="E33" s="11"/>
      <c r="F33" s="10"/>
      <c r="G33" s="10"/>
      <c r="H33" s="10"/>
    </row>
    <row r="34" spans="1:8" ht="12.75">
      <c r="A34" s="27"/>
      <c r="B34" s="27"/>
      <c r="C34" s="27"/>
      <c r="D34" s="27"/>
      <c r="E34" s="27"/>
      <c r="F34" s="27"/>
      <c r="G34" s="27"/>
      <c r="H34" s="27"/>
    </row>
    <row r="35" spans="1:8" ht="12.75">
      <c r="A35" s="27"/>
      <c r="B35" s="27"/>
      <c r="C35" s="27"/>
      <c r="D35" s="27"/>
      <c r="E35" s="27"/>
      <c r="F35" s="27"/>
      <c r="G35" s="27"/>
      <c r="H35" s="27"/>
    </row>
    <row r="36" spans="1:8" ht="12.75">
      <c r="A36" s="27"/>
      <c r="B36" s="27"/>
      <c r="C36" s="27"/>
      <c r="D36" s="27"/>
      <c r="E36" s="27"/>
      <c r="F36" s="27"/>
      <c r="G36" s="27"/>
      <c r="H36" s="27"/>
    </row>
    <row r="37" spans="1:8" ht="12.75">
      <c r="A37" s="27"/>
      <c r="B37" s="27"/>
      <c r="C37" s="27"/>
      <c r="D37" s="27"/>
      <c r="E37" s="27"/>
      <c r="F37" s="27"/>
      <c r="G37" s="27"/>
      <c r="H37" s="27"/>
    </row>
    <row r="38" spans="1:8" ht="12.75">
      <c r="A38" s="27"/>
      <c r="B38" s="27"/>
      <c r="C38" s="27"/>
      <c r="D38" s="27"/>
      <c r="E38" s="27"/>
      <c r="F38" s="27"/>
      <c r="G38" s="27"/>
      <c r="H38" s="27"/>
    </row>
    <row r="39" spans="1:8" ht="12.75">
      <c r="A39" s="27"/>
      <c r="B39" s="27"/>
      <c r="C39" s="27"/>
      <c r="D39" s="27"/>
      <c r="E39" s="27"/>
      <c r="F39" s="27"/>
      <c r="G39" s="27"/>
      <c r="H39" s="27"/>
    </row>
    <row r="40" spans="1:8" ht="12.75">
      <c r="A40" s="27"/>
      <c r="B40" s="27"/>
      <c r="C40" s="27"/>
      <c r="D40" s="27"/>
      <c r="E40" s="27"/>
      <c r="F40" s="27"/>
      <c r="G40" s="27"/>
      <c r="H40" s="27"/>
    </row>
    <row r="41" spans="1:8" ht="12.75">
      <c r="A41" s="27"/>
      <c r="B41" s="27"/>
      <c r="C41" s="27"/>
      <c r="D41" s="27"/>
      <c r="E41" s="27"/>
      <c r="F41" s="27"/>
      <c r="G41" s="27"/>
      <c r="H41" s="27"/>
    </row>
    <row r="42" spans="1:8" ht="12.75">
      <c r="A42" s="27"/>
      <c r="B42" s="27"/>
      <c r="C42" s="27"/>
      <c r="D42" s="27"/>
      <c r="E42" s="27"/>
      <c r="F42" s="27"/>
      <c r="G42" s="27"/>
      <c r="H42" s="27"/>
    </row>
    <row r="43" spans="1:8" ht="12.75">
      <c r="A43" s="27"/>
      <c r="B43" s="27"/>
      <c r="C43" s="27"/>
      <c r="D43" s="27"/>
      <c r="E43" s="27"/>
      <c r="F43" s="27"/>
      <c r="G43" s="27"/>
      <c r="H43" s="27"/>
    </row>
    <row r="44" spans="1:8" ht="12.75">
      <c r="A44" s="27"/>
      <c r="B44" s="27"/>
      <c r="C44" s="27"/>
      <c r="D44" s="27"/>
      <c r="E44" s="27"/>
      <c r="F44" s="27"/>
      <c r="G44" s="27"/>
      <c r="H44" s="27"/>
    </row>
    <row r="45" spans="1:8" ht="12.75">
      <c r="A45" s="27"/>
      <c r="B45" s="27"/>
      <c r="C45" s="27"/>
      <c r="D45" s="27"/>
      <c r="E45" s="27"/>
      <c r="F45" s="27"/>
      <c r="G45" s="27"/>
      <c r="H45" s="27"/>
    </row>
    <row r="46" spans="1:8" ht="12.75">
      <c r="A46" s="27"/>
      <c r="B46" s="27"/>
      <c r="C46" s="27"/>
      <c r="D46" s="27"/>
      <c r="E46" s="27"/>
      <c r="F46" s="27"/>
      <c r="G46" s="27"/>
      <c r="H46" s="27"/>
    </row>
    <row r="47" spans="1:8" ht="12.75">
      <c r="A47" s="27"/>
      <c r="B47" s="27"/>
      <c r="C47" s="27"/>
      <c r="D47" s="27"/>
      <c r="E47" s="27"/>
      <c r="F47" s="27"/>
      <c r="G47" s="27"/>
      <c r="H47" s="27"/>
    </row>
    <row r="48" spans="1:8" ht="12.75">
      <c r="A48" s="27"/>
      <c r="B48" s="27"/>
      <c r="C48" s="27"/>
      <c r="D48" s="27"/>
      <c r="E48" s="27"/>
      <c r="F48" s="27"/>
      <c r="G48" s="27"/>
      <c r="H48" s="27"/>
    </row>
    <row r="49" spans="1:8" ht="12.75">
      <c r="A49" s="27"/>
      <c r="B49" s="27"/>
      <c r="C49" s="27"/>
      <c r="D49" s="27"/>
      <c r="E49" s="27"/>
      <c r="F49" s="27"/>
      <c r="G49" s="27"/>
      <c r="H49" s="27"/>
    </row>
    <row r="50" spans="1:8" ht="12.75">
      <c r="A50" s="27"/>
      <c r="B50" s="27"/>
      <c r="C50" s="27"/>
      <c r="D50" s="27"/>
      <c r="E50" s="27"/>
      <c r="F50" s="27"/>
      <c r="G50" s="27"/>
      <c r="H50" s="27"/>
    </row>
    <row r="51" spans="1:8" ht="12.75">
      <c r="A51" s="27"/>
      <c r="B51" s="27"/>
      <c r="C51" s="27"/>
      <c r="D51" s="27"/>
      <c r="E51" s="27"/>
      <c r="F51" s="27"/>
      <c r="G51" s="27"/>
      <c r="H51" s="27"/>
    </row>
    <row r="52" spans="1:8" ht="12.75">
      <c r="A52" s="27"/>
      <c r="B52" s="27"/>
      <c r="C52" s="27"/>
      <c r="D52" s="27"/>
      <c r="E52" s="27"/>
      <c r="F52" s="27"/>
      <c r="G52" s="27"/>
      <c r="H52" s="27"/>
    </row>
    <row r="53" spans="1:8" ht="12.75">
      <c r="A53" s="27"/>
      <c r="B53" s="27"/>
      <c r="C53" s="27"/>
      <c r="D53" s="27"/>
      <c r="E53" s="27"/>
      <c r="F53" s="27"/>
      <c r="G53" s="27"/>
      <c r="H53" s="27"/>
    </row>
    <row r="54" spans="1:8" ht="12.75">
      <c r="A54" s="27"/>
      <c r="B54" s="27"/>
      <c r="C54" s="27"/>
      <c r="D54" s="27"/>
      <c r="E54" s="27"/>
      <c r="F54" s="27"/>
      <c r="G54" s="27"/>
      <c r="H54" s="27"/>
    </row>
    <row r="55" spans="1:8" ht="12.75">
      <c r="A55" s="27"/>
      <c r="B55" s="27"/>
      <c r="C55" s="27"/>
      <c r="D55" s="27"/>
      <c r="E55" s="27"/>
      <c r="F55" s="27"/>
      <c r="G55" s="27"/>
      <c r="H55" s="27"/>
    </row>
    <row r="56" spans="1:8" ht="12.75">
      <c r="A56" s="27"/>
      <c r="B56" s="27"/>
      <c r="C56" s="27"/>
      <c r="D56" s="27"/>
      <c r="E56" s="27"/>
      <c r="F56" s="27"/>
      <c r="G56" s="27"/>
      <c r="H56" s="27"/>
    </row>
    <row r="57" spans="1:8" ht="12.75">
      <c r="A57" s="27"/>
      <c r="B57" s="27"/>
      <c r="C57" s="27"/>
      <c r="D57" s="27"/>
      <c r="E57" s="27"/>
      <c r="F57" s="27"/>
      <c r="G57" s="27"/>
      <c r="H57" s="27"/>
    </row>
    <row r="58" spans="1:8" ht="12.75">
      <c r="A58" s="27"/>
      <c r="B58" s="27"/>
      <c r="C58" s="27"/>
      <c r="D58" s="27"/>
      <c r="E58" s="27"/>
      <c r="F58" s="27"/>
      <c r="G58" s="27"/>
      <c r="H58" s="27"/>
    </row>
    <row r="59" spans="1:8" ht="12.75">
      <c r="A59" s="27"/>
      <c r="B59" s="27"/>
      <c r="C59" s="27"/>
      <c r="D59" s="27"/>
      <c r="E59" s="27"/>
      <c r="F59" s="27"/>
      <c r="G59" s="27"/>
      <c r="H59" s="27"/>
    </row>
    <row r="60" spans="1:8" ht="12.75">
      <c r="A60" s="27"/>
      <c r="B60" s="27"/>
      <c r="C60" s="27"/>
      <c r="D60" s="27"/>
      <c r="E60" s="27"/>
      <c r="F60" s="27"/>
      <c r="G60" s="27"/>
      <c r="H60" s="27"/>
    </row>
    <row r="61" spans="1:8" ht="12.75">
      <c r="A61" s="27"/>
      <c r="B61" s="27"/>
      <c r="C61" s="27"/>
      <c r="D61" s="27"/>
      <c r="E61" s="27"/>
      <c r="F61" s="27"/>
      <c r="G61" s="27"/>
      <c r="H61" s="27"/>
    </row>
    <row r="62" spans="1:8" ht="12.75">
      <c r="A62" s="27"/>
      <c r="B62" s="27"/>
      <c r="C62" s="27"/>
      <c r="D62" s="27"/>
      <c r="E62" s="27"/>
      <c r="F62" s="27"/>
      <c r="G62" s="27"/>
      <c r="H62" s="27"/>
    </row>
    <row r="63" spans="1:8" ht="12.75">
      <c r="A63" s="27"/>
      <c r="B63" s="27"/>
      <c r="C63" s="27"/>
      <c r="D63" s="27"/>
      <c r="E63" s="27"/>
      <c r="F63" s="27"/>
      <c r="G63" s="27"/>
      <c r="H63" s="27"/>
    </row>
    <row r="64" spans="1:8" ht="12.75">
      <c r="A64" s="27"/>
      <c r="B64" s="27"/>
      <c r="C64" s="27"/>
      <c r="D64" s="27"/>
      <c r="E64" s="27"/>
      <c r="F64" s="27"/>
      <c r="G64" s="27"/>
      <c r="H64" s="27"/>
    </row>
    <row r="65" spans="1:8" ht="12.75">
      <c r="A65" s="27"/>
      <c r="B65" s="27"/>
      <c r="C65" s="27"/>
      <c r="D65" s="27"/>
      <c r="E65" s="27"/>
      <c r="F65" s="27"/>
      <c r="G65" s="27"/>
      <c r="H65" s="27"/>
    </row>
    <row r="66" spans="1:8" ht="12.75">
      <c r="A66" s="27"/>
      <c r="B66" s="27"/>
      <c r="C66" s="27"/>
      <c r="D66" s="27"/>
      <c r="E66" s="27"/>
      <c r="F66" s="27"/>
      <c r="G66" s="27"/>
      <c r="H66" s="27"/>
    </row>
    <row r="67" spans="1:8" ht="12.75">
      <c r="A67" s="27"/>
      <c r="B67" s="27"/>
      <c r="C67" s="27"/>
      <c r="D67" s="27"/>
      <c r="E67" s="27"/>
      <c r="F67" s="27"/>
      <c r="G67" s="27"/>
      <c r="H67" s="27"/>
    </row>
    <row r="68" spans="1:8" ht="12.75">
      <c r="A68" s="27"/>
      <c r="B68" s="27"/>
      <c r="C68" s="27"/>
      <c r="D68" s="27"/>
      <c r="E68" s="27"/>
      <c r="F68" s="27"/>
      <c r="G68" s="27"/>
      <c r="H68" s="27"/>
    </row>
    <row r="69" spans="1:8" ht="12.75">
      <c r="A69" s="27"/>
      <c r="B69" s="27"/>
      <c r="C69" s="27"/>
      <c r="D69" s="27"/>
      <c r="E69" s="27"/>
      <c r="F69" s="27"/>
      <c r="G69" s="27"/>
      <c r="H69" s="27"/>
    </row>
    <row r="70" spans="1:8" ht="12.75">
      <c r="A70" s="27"/>
      <c r="B70" s="27"/>
      <c r="C70" s="27"/>
      <c r="D70" s="27"/>
      <c r="E70" s="27"/>
      <c r="F70" s="27"/>
      <c r="G70" s="27"/>
      <c r="H70" s="27"/>
    </row>
    <row r="71" spans="1:8" ht="12.75">
      <c r="A71" s="27"/>
      <c r="B71" s="27"/>
      <c r="C71" s="27"/>
      <c r="D71" s="27"/>
      <c r="E71" s="27"/>
      <c r="F71" s="27"/>
      <c r="G71" s="27"/>
      <c r="H71" s="27"/>
    </row>
    <row r="72" spans="1:8" ht="12.75">
      <c r="A72" s="27"/>
      <c r="B72" s="27"/>
      <c r="C72" s="27"/>
      <c r="D72" s="27"/>
      <c r="E72" s="27"/>
      <c r="F72" s="27"/>
      <c r="G72" s="27"/>
      <c r="H72" s="27"/>
    </row>
    <row r="73" spans="1:8" ht="12.75">
      <c r="A73" s="27"/>
      <c r="B73" s="27"/>
      <c r="C73" s="27"/>
      <c r="D73" s="27"/>
      <c r="E73" s="27"/>
      <c r="F73" s="27"/>
      <c r="G73" s="27"/>
      <c r="H73" s="27"/>
    </row>
    <row r="74" spans="1:8" ht="12.75">
      <c r="A74" s="27"/>
      <c r="B74" s="27"/>
      <c r="C74" s="27"/>
      <c r="D74" s="27"/>
      <c r="E74" s="27"/>
      <c r="F74" s="27"/>
      <c r="G74" s="27"/>
      <c r="H74" s="27"/>
    </row>
    <row r="75" spans="1:8" ht="12.75">
      <c r="A75" s="27"/>
      <c r="B75" s="27"/>
      <c r="C75" s="27"/>
      <c r="D75" s="27"/>
      <c r="E75" s="27"/>
      <c r="F75" s="27"/>
      <c r="G75" s="27"/>
      <c r="H75" s="27"/>
    </row>
    <row r="76" spans="1:8" ht="12.75">
      <c r="A76" s="27"/>
      <c r="B76" s="27"/>
      <c r="C76" s="27"/>
      <c r="D76" s="27"/>
      <c r="E76" s="27"/>
      <c r="F76" s="27"/>
      <c r="G76" s="27"/>
      <c r="H76" s="27"/>
    </row>
    <row r="77" spans="1:8" ht="12.75">
      <c r="A77" s="27"/>
      <c r="B77" s="27"/>
      <c r="C77" s="27"/>
      <c r="D77" s="27"/>
      <c r="E77" s="27"/>
      <c r="F77" s="27"/>
      <c r="G77" s="27"/>
      <c r="H77" s="27"/>
    </row>
    <row r="78" spans="1:8" ht="12.75">
      <c r="A78" s="27"/>
      <c r="B78" s="27"/>
      <c r="C78" s="27"/>
      <c r="D78" s="27"/>
      <c r="E78" s="27"/>
      <c r="F78" s="27"/>
      <c r="G78" s="27"/>
      <c r="H78" s="27"/>
    </row>
    <row r="79" spans="1:8" ht="12.75">
      <c r="A79" s="27"/>
      <c r="B79" s="27"/>
      <c r="C79" s="27"/>
      <c r="D79" s="27"/>
      <c r="E79" s="27"/>
      <c r="F79" s="27"/>
      <c r="G79" s="27"/>
      <c r="H79" s="27"/>
    </row>
    <row r="80" spans="1:8" ht="12.75">
      <c r="A80" s="27"/>
      <c r="B80" s="27"/>
      <c r="C80" s="27"/>
      <c r="D80" s="27"/>
      <c r="E80" s="27"/>
      <c r="F80" s="27"/>
      <c r="G80" s="27"/>
      <c r="H80" s="27"/>
    </row>
    <row r="81" spans="1:8" ht="12.75">
      <c r="A81" s="27"/>
      <c r="B81" s="27"/>
      <c r="C81" s="27"/>
      <c r="D81" s="27"/>
      <c r="E81" s="27"/>
      <c r="F81" s="27"/>
      <c r="G81" s="27"/>
      <c r="H81" s="27"/>
    </row>
    <row r="82" spans="1:8" ht="12.75">
      <c r="A82" s="27"/>
      <c r="B82" s="27"/>
      <c r="C82" s="27"/>
      <c r="D82" s="27"/>
      <c r="E82" s="27"/>
      <c r="F82" s="27"/>
      <c r="G82" s="27"/>
      <c r="H82" s="27"/>
    </row>
    <row r="83" spans="1:8" ht="12.75">
      <c r="A83" s="27"/>
      <c r="B83" s="27"/>
      <c r="C83" s="27"/>
      <c r="D83" s="27"/>
      <c r="E83" s="27"/>
      <c r="F83" s="27"/>
      <c r="G83" s="27"/>
      <c r="H83" s="27"/>
    </row>
    <row r="84" spans="1:8" ht="12.75">
      <c r="A84" s="27"/>
      <c r="B84" s="27"/>
      <c r="C84" s="27"/>
      <c r="D84" s="27"/>
      <c r="E84" s="27"/>
      <c r="F84" s="27"/>
      <c r="G84" s="27"/>
      <c r="H84" s="27"/>
    </row>
    <row r="85" spans="1:8" ht="12.75">
      <c r="A85" s="27"/>
      <c r="B85" s="27"/>
      <c r="C85" s="27"/>
      <c r="D85" s="27"/>
      <c r="E85" s="27"/>
      <c r="F85" s="27"/>
      <c r="G85" s="27"/>
      <c r="H85" s="27"/>
    </row>
    <row r="86" spans="1:8" ht="12.75">
      <c r="A86" s="27"/>
      <c r="B86" s="27"/>
      <c r="C86" s="27"/>
      <c r="D86" s="27"/>
      <c r="E86" s="27"/>
      <c r="F86" s="27"/>
      <c r="G86" s="27"/>
      <c r="H86" s="27"/>
    </row>
    <row r="87" spans="1:8" ht="12.75">
      <c r="A87" s="27"/>
      <c r="B87" s="27"/>
      <c r="C87" s="27"/>
      <c r="D87" s="27"/>
      <c r="E87" s="27"/>
      <c r="F87" s="27"/>
      <c r="G87" s="27"/>
      <c r="H87" s="27"/>
    </row>
    <row r="88" spans="1:8" ht="12.75">
      <c r="A88" s="27"/>
      <c r="B88" s="27"/>
      <c r="C88" s="27"/>
      <c r="D88" s="27"/>
      <c r="E88" s="27"/>
      <c r="F88" s="27"/>
      <c r="G88" s="27"/>
      <c r="H88" s="27"/>
    </row>
    <row r="89" spans="1:8" ht="12.75">
      <c r="A89" s="27"/>
      <c r="B89" s="27"/>
      <c r="C89" s="27"/>
      <c r="D89" s="27"/>
      <c r="E89" s="27"/>
      <c r="F89" s="27"/>
      <c r="G89" s="27"/>
      <c r="H89" s="27"/>
    </row>
    <row r="90" spans="1:8" ht="12.75">
      <c r="A90" s="27"/>
      <c r="B90" s="27"/>
      <c r="C90" s="27"/>
      <c r="D90" s="27"/>
      <c r="E90" s="27"/>
      <c r="F90" s="27"/>
      <c r="G90" s="27"/>
      <c r="H90" s="27"/>
    </row>
    <row r="91" spans="1:8" ht="12.75">
      <c r="A91" s="27"/>
      <c r="B91" s="27"/>
      <c r="C91" s="27"/>
      <c r="D91" s="27"/>
      <c r="E91" s="27"/>
      <c r="F91" s="27"/>
      <c r="G91" s="27"/>
      <c r="H91" s="27"/>
    </row>
    <row r="92" spans="1:8" ht="12.75">
      <c r="A92" s="27"/>
      <c r="B92" s="27"/>
      <c r="C92" s="27"/>
      <c r="D92" s="27"/>
      <c r="E92" s="27"/>
      <c r="F92" s="27"/>
      <c r="G92" s="27"/>
      <c r="H92" s="27"/>
    </row>
    <row r="93" spans="1:8" ht="12.75">
      <c r="A93" s="27"/>
      <c r="B93" s="27"/>
      <c r="C93" s="27"/>
      <c r="D93" s="27"/>
      <c r="E93" s="27"/>
      <c r="F93" s="27"/>
      <c r="G93" s="27"/>
      <c r="H93" s="27"/>
    </row>
  </sheetData>
  <mergeCells count="6">
    <mergeCell ref="A2:G2"/>
    <mergeCell ref="A7:E10"/>
    <mergeCell ref="A13:E16"/>
    <mergeCell ref="A18:E18"/>
    <mergeCell ref="A20:E27"/>
    <mergeCell ref="A4:D4"/>
  </mergeCells>
  <pageMargins left="0.23622047244094491" right="0.23622047244094491" top="0.74803149606299213" bottom="1.6822087476291743" header="0" footer="0"/>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96" zoomScaleNormal="96" workbookViewId="0">
      <selection activeCell="C23" sqref="C23"/>
    </sheetView>
  </sheetViews>
  <sheetFormatPr defaultColWidth="9.140625" defaultRowHeight="15"/>
  <cols>
    <col min="1" max="1" width="5.5703125" style="12" customWidth="1"/>
    <col min="2" max="2" width="24.7109375" style="12" customWidth="1"/>
    <col min="3" max="3" width="66.7109375" style="12" customWidth="1"/>
    <col min="4" max="4" width="14.140625" style="12" customWidth="1"/>
    <col min="5" max="5" width="8.5703125" style="12" customWidth="1"/>
    <col min="6" max="16384" width="9.140625" style="12"/>
  </cols>
  <sheetData>
    <row r="1" spans="1:5">
      <c r="D1" s="764" t="s">
        <v>106</v>
      </c>
      <c r="E1" s="764"/>
    </row>
    <row r="2" spans="1:5" ht="15" customHeight="1">
      <c r="A2" s="765" t="s">
        <v>414</v>
      </c>
      <c r="B2" s="765"/>
      <c r="C2" s="765"/>
      <c r="D2" s="765"/>
      <c r="E2" s="765"/>
    </row>
    <row r="3" spans="1:5" ht="16.5" customHeight="1">
      <c r="A3" s="765"/>
      <c r="B3" s="765"/>
      <c r="C3" s="765"/>
      <c r="D3" s="765"/>
      <c r="E3" s="765"/>
    </row>
    <row r="4" spans="1:5" ht="15" hidden="1" customHeight="1">
      <c r="A4" s="765"/>
      <c r="B4" s="765"/>
      <c r="C4" s="765"/>
      <c r="D4" s="765"/>
      <c r="E4" s="765"/>
    </row>
    <row r="5" spans="1:5" ht="15" hidden="1" customHeight="1">
      <c r="A5" s="765"/>
      <c r="B5" s="765"/>
      <c r="C5" s="765"/>
      <c r="D5" s="765"/>
      <c r="E5" s="765"/>
    </row>
    <row r="6" spans="1:5" ht="12.75" customHeight="1">
      <c r="A6" s="765"/>
      <c r="B6" s="765"/>
      <c r="C6" s="765"/>
      <c r="D6" s="765"/>
      <c r="E6" s="765"/>
    </row>
    <row r="7" spans="1:5" ht="15.75" thickBot="1">
      <c r="A7" s="14"/>
      <c r="B7" s="14"/>
      <c r="C7" s="14"/>
      <c r="D7" s="15"/>
      <c r="E7" s="13"/>
    </row>
    <row r="8" spans="1:5" ht="59.25" customHeight="1" thickBot="1">
      <c r="A8" s="647" t="s">
        <v>107</v>
      </c>
      <c r="B8" s="650" t="s">
        <v>108</v>
      </c>
      <c r="C8" s="648" t="s">
        <v>109</v>
      </c>
      <c r="D8" s="647" t="s">
        <v>110</v>
      </c>
      <c r="E8" s="649" t="s">
        <v>8</v>
      </c>
    </row>
    <row r="9" spans="1:5" ht="23.25" customHeight="1">
      <c r="A9" s="766" t="s">
        <v>111</v>
      </c>
      <c r="B9" s="755" t="s">
        <v>112</v>
      </c>
      <c r="C9" s="55" t="s">
        <v>415</v>
      </c>
      <c r="D9" s="56">
        <v>8.93</v>
      </c>
      <c r="E9" s="758">
        <f>SUM(D9:D13)</f>
        <v>35.894999999999996</v>
      </c>
    </row>
    <row r="10" spans="1:5" ht="22.5" customHeight="1">
      <c r="A10" s="767"/>
      <c r="B10" s="756"/>
      <c r="C10" s="16" t="s">
        <v>113</v>
      </c>
      <c r="D10" s="17">
        <v>11.494999999999999</v>
      </c>
      <c r="E10" s="759"/>
    </row>
    <row r="11" spans="1:5" ht="39" customHeight="1">
      <c r="A11" s="767"/>
      <c r="B11" s="756"/>
      <c r="C11" s="16" t="s">
        <v>114</v>
      </c>
      <c r="D11" s="18">
        <v>6</v>
      </c>
      <c r="E11" s="759"/>
    </row>
    <row r="12" spans="1:5" ht="24.75" customHeight="1">
      <c r="A12" s="767"/>
      <c r="B12" s="756"/>
      <c r="C12" s="16" t="s">
        <v>505</v>
      </c>
      <c r="D12" s="19">
        <v>8.4700000000000006</v>
      </c>
      <c r="E12" s="759"/>
    </row>
    <row r="13" spans="1:5" ht="25.5" customHeight="1" thickBot="1">
      <c r="A13" s="767"/>
      <c r="B13" s="769"/>
      <c r="C13" s="20" t="s">
        <v>122</v>
      </c>
      <c r="D13" s="21">
        <v>1</v>
      </c>
      <c r="E13" s="770"/>
    </row>
    <row r="14" spans="1:5" s="22" customFormat="1" ht="55.5" customHeight="1">
      <c r="A14" s="767"/>
      <c r="B14" s="755" t="s">
        <v>115</v>
      </c>
      <c r="C14" s="57" t="s">
        <v>116</v>
      </c>
      <c r="D14" s="58">
        <v>45</v>
      </c>
      <c r="E14" s="758">
        <f>SUM(D14:D17)</f>
        <v>183</v>
      </c>
    </row>
    <row r="15" spans="1:5" ht="52.5" customHeight="1">
      <c r="A15" s="767"/>
      <c r="B15" s="756"/>
      <c r="C15" s="23" t="s">
        <v>117</v>
      </c>
      <c r="D15" s="59">
        <v>60</v>
      </c>
      <c r="E15" s="759"/>
    </row>
    <row r="16" spans="1:5" ht="52.5" customHeight="1" thickBot="1">
      <c r="A16" s="767"/>
      <c r="B16" s="756"/>
      <c r="C16" s="24" t="s">
        <v>118</v>
      </c>
      <c r="D16" s="25">
        <v>60</v>
      </c>
      <c r="E16" s="759"/>
    </row>
    <row r="17" spans="1:5" s="26" customFormat="1" ht="25.5" customHeight="1">
      <c r="A17" s="768"/>
      <c r="B17" s="757"/>
      <c r="C17" s="206" t="s">
        <v>122</v>
      </c>
      <c r="D17" s="207">
        <v>18</v>
      </c>
      <c r="E17" s="760"/>
    </row>
    <row r="18" spans="1:5" s="26" customFormat="1" ht="19.5" customHeight="1">
      <c r="A18" s="761" t="s">
        <v>8</v>
      </c>
      <c r="B18" s="762"/>
      <c r="C18" s="762"/>
      <c r="D18" s="763"/>
      <c r="E18" s="208">
        <f>SUM(E9,E14)</f>
        <v>218.89499999999998</v>
      </c>
    </row>
  </sheetData>
  <mergeCells count="8">
    <mergeCell ref="B14:B17"/>
    <mergeCell ref="E14:E17"/>
    <mergeCell ref="A18:D18"/>
    <mergeCell ref="D1:E1"/>
    <mergeCell ref="A2:E6"/>
    <mergeCell ref="A9:A17"/>
    <mergeCell ref="B9:B13"/>
    <mergeCell ref="E9:E13"/>
  </mergeCells>
  <pageMargins left="0.25" right="0.25" top="0.75" bottom="0.75" header="0.3"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zoomScale="98" zoomScaleNormal="98" workbookViewId="0">
      <pane ySplit="4" topLeftCell="A5" activePane="bottomLeft" state="frozen"/>
      <selection pane="bottomLeft" activeCell="D12" sqref="D12:H12"/>
    </sheetView>
  </sheetViews>
  <sheetFormatPr defaultColWidth="9.140625" defaultRowHeight="12.75"/>
  <cols>
    <col min="1" max="1" width="43.42578125" style="304" customWidth="1"/>
    <col min="2" max="2" width="16.85546875" style="305" customWidth="1"/>
    <col min="3" max="3" width="23.5703125" style="305" customWidth="1"/>
    <col min="4" max="4" width="9.140625" style="304"/>
    <col min="5" max="5" width="11.140625" style="304" customWidth="1"/>
    <col min="6" max="7" width="9.140625" style="304"/>
    <col min="8" max="8" width="11" style="304" customWidth="1"/>
    <col min="9" max="16384" width="9.140625" style="304"/>
  </cols>
  <sheetData>
    <row r="1" spans="1:13">
      <c r="B1" s="772" t="s">
        <v>423</v>
      </c>
      <c r="C1" s="772"/>
    </row>
    <row r="2" spans="1:13" ht="12.75" customHeight="1">
      <c r="A2" s="779" t="s">
        <v>528</v>
      </c>
      <c r="B2" s="779"/>
      <c r="C2" s="779"/>
    </row>
    <row r="3" spans="1:13" ht="24.75" customHeight="1">
      <c r="A3" s="780"/>
      <c r="B3" s="780"/>
      <c r="C3" s="780"/>
    </row>
    <row r="4" spans="1:13" ht="58.5" customHeight="1">
      <c r="A4" s="651" t="s">
        <v>36</v>
      </c>
      <c r="B4" s="652" t="s">
        <v>360</v>
      </c>
      <c r="C4" s="652" t="s">
        <v>416</v>
      </c>
    </row>
    <row r="5" spans="1:13" ht="30" customHeight="1">
      <c r="A5" s="774" t="s">
        <v>418</v>
      </c>
      <c r="B5" s="775"/>
      <c r="C5" s="776"/>
      <c r="D5" s="777"/>
      <c r="E5" s="778"/>
      <c r="F5" s="778"/>
      <c r="G5" s="778"/>
      <c r="H5" s="778"/>
      <c r="I5" s="778"/>
    </row>
    <row r="6" spans="1:13" ht="13.5" customHeight="1">
      <c r="A6" s="306" t="s">
        <v>37</v>
      </c>
      <c r="B6" s="308">
        <v>200</v>
      </c>
      <c r="C6" s="308">
        <v>700</v>
      </c>
    </row>
    <row r="7" spans="1:13" ht="13.5" customHeight="1">
      <c r="A7" s="309" t="s">
        <v>38</v>
      </c>
      <c r="B7" s="310">
        <v>10</v>
      </c>
      <c r="C7" s="308">
        <v>10</v>
      </c>
    </row>
    <row r="8" spans="1:13" ht="14.25" customHeight="1">
      <c r="A8" s="309" t="s">
        <v>39</v>
      </c>
      <c r="B8" s="310">
        <v>7.5</v>
      </c>
      <c r="C8" s="308">
        <v>7.5</v>
      </c>
      <c r="E8" s="364"/>
    </row>
    <row r="9" spans="1:13" ht="14.25" customHeight="1">
      <c r="A9" s="311" t="s">
        <v>40</v>
      </c>
      <c r="B9" s="308">
        <v>100</v>
      </c>
      <c r="C9" s="308">
        <v>400</v>
      </c>
      <c r="E9" s="364"/>
    </row>
    <row r="10" spans="1:13" ht="17.25" customHeight="1">
      <c r="A10" s="314" t="s">
        <v>42</v>
      </c>
      <c r="B10" s="313"/>
      <c r="C10" s="308">
        <v>565</v>
      </c>
      <c r="D10" s="315"/>
      <c r="E10" s="316"/>
      <c r="F10" s="316"/>
      <c r="G10" s="316"/>
      <c r="H10" s="316"/>
      <c r="I10" s="773"/>
      <c r="J10" s="773"/>
      <c r="K10" s="773"/>
      <c r="L10" s="773"/>
      <c r="M10" s="773"/>
    </row>
    <row r="11" spans="1:13" ht="14.25" customHeight="1">
      <c r="A11" s="314" t="s">
        <v>43</v>
      </c>
      <c r="B11" s="313"/>
      <c r="C11" s="308">
        <v>8.1999999999999993</v>
      </c>
      <c r="D11" s="785"/>
      <c r="E11" s="786"/>
      <c r="F11" s="786"/>
      <c r="G11" s="786"/>
      <c r="H11" s="786"/>
      <c r="I11" s="786"/>
      <c r="J11" s="786"/>
      <c r="K11" s="786"/>
      <c r="L11" s="316"/>
      <c r="M11" s="316"/>
    </row>
    <row r="12" spans="1:13" ht="14.25" customHeight="1">
      <c r="A12" s="314" t="s">
        <v>44</v>
      </c>
      <c r="B12" s="313"/>
      <c r="C12" s="308">
        <v>0.6</v>
      </c>
      <c r="D12" s="781"/>
      <c r="E12" s="782"/>
      <c r="F12" s="782"/>
      <c r="G12" s="782"/>
      <c r="H12" s="782"/>
    </row>
    <row r="13" spans="1:13" ht="14.25" customHeight="1">
      <c r="A13" s="314" t="s">
        <v>45</v>
      </c>
      <c r="B13" s="313"/>
      <c r="C13" s="308">
        <v>0.2</v>
      </c>
      <c r="D13" s="781"/>
      <c r="E13" s="782"/>
      <c r="F13" s="782"/>
      <c r="G13" s="782"/>
      <c r="H13" s="782"/>
    </row>
    <row r="14" spans="1:13" ht="13.5" customHeight="1">
      <c r="A14" s="314" t="s">
        <v>46</v>
      </c>
      <c r="B14" s="313"/>
      <c r="C14" s="308">
        <v>4</v>
      </c>
      <c r="D14" s="781"/>
      <c r="E14" s="782"/>
      <c r="F14" s="782"/>
      <c r="G14" s="782"/>
      <c r="H14" s="782"/>
    </row>
    <row r="15" spans="1:13" ht="14.25" customHeight="1">
      <c r="A15" s="314" t="s">
        <v>47</v>
      </c>
      <c r="B15" s="313"/>
      <c r="C15" s="308">
        <v>2.5</v>
      </c>
      <c r="D15" s="781"/>
      <c r="E15" s="782"/>
      <c r="F15" s="782"/>
      <c r="G15" s="782"/>
      <c r="H15" s="782"/>
    </row>
    <row r="16" spans="1:13" ht="13.5" customHeight="1">
      <c r="A16" s="317" t="s">
        <v>48</v>
      </c>
      <c r="B16" s="310"/>
      <c r="C16" s="308">
        <v>4.5</v>
      </c>
    </row>
    <row r="17" spans="1:9" ht="14.25" customHeight="1">
      <c r="A17" s="314" t="s">
        <v>49</v>
      </c>
      <c r="B17" s="310"/>
      <c r="C17" s="308">
        <v>10</v>
      </c>
      <c r="D17" s="781"/>
      <c r="E17" s="782"/>
      <c r="F17" s="782"/>
      <c r="G17" s="782"/>
      <c r="H17" s="782"/>
    </row>
    <row r="18" spans="1:9" ht="14.25" customHeight="1">
      <c r="A18" s="314" t="s">
        <v>50</v>
      </c>
      <c r="B18" s="310"/>
      <c r="C18" s="308">
        <v>1</v>
      </c>
      <c r="D18" s="781"/>
      <c r="E18" s="782"/>
      <c r="F18" s="782"/>
      <c r="G18" s="782"/>
      <c r="H18" s="782"/>
    </row>
    <row r="19" spans="1:9" ht="12.75" customHeight="1">
      <c r="A19" s="314" t="s">
        <v>51</v>
      </c>
      <c r="B19" s="313"/>
      <c r="C19" s="308">
        <v>0.2</v>
      </c>
      <c r="D19" s="781"/>
      <c r="E19" s="782"/>
      <c r="F19" s="782"/>
      <c r="G19" s="782"/>
      <c r="H19" s="782"/>
    </row>
    <row r="20" spans="1:9" ht="14.25" customHeight="1">
      <c r="A20" s="314" t="s">
        <v>52</v>
      </c>
      <c r="B20" s="313"/>
      <c r="C20" s="308">
        <v>4</v>
      </c>
      <c r="D20" s="318"/>
      <c r="E20" s="771"/>
      <c r="F20" s="771"/>
      <c r="G20" s="771"/>
      <c r="H20" s="771"/>
      <c r="I20" s="771"/>
    </row>
    <row r="21" spans="1:9" ht="14.25" customHeight="1">
      <c r="A21" s="314" t="s">
        <v>53</v>
      </c>
      <c r="B21" s="310"/>
      <c r="C21" s="308">
        <v>2.5</v>
      </c>
      <c r="D21" s="781"/>
      <c r="E21" s="782"/>
      <c r="F21" s="782"/>
      <c r="G21" s="782"/>
      <c r="H21" s="782"/>
    </row>
    <row r="22" spans="1:9" ht="14.25" customHeight="1">
      <c r="A22" s="314" t="s">
        <v>54</v>
      </c>
      <c r="B22" s="310">
        <v>400</v>
      </c>
      <c r="C22" s="308">
        <v>1100</v>
      </c>
    </row>
    <row r="23" spans="1:9" ht="15" customHeight="1">
      <c r="A23" s="314" t="s">
        <v>55</v>
      </c>
      <c r="B23" s="310"/>
      <c r="C23" s="308">
        <v>216.2</v>
      </c>
      <c r="D23" s="318"/>
      <c r="E23" s="319"/>
      <c r="F23" s="319"/>
      <c r="G23" s="319"/>
      <c r="H23" s="319"/>
      <c r="I23" s="319"/>
    </row>
    <row r="24" spans="1:9" ht="15" customHeight="1">
      <c r="A24" s="314" t="s">
        <v>56</v>
      </c>
      <c r="B24" s="310"/>
      <c r="C24" s="308">
        <v>286.5</v>
      </c>
      <c r="D24" s="781"/>
      <c r="E24" s="782"/>
      <c r="F24" s="782"/>
      <c r="G24" s="782"/>
      <c r="H24" s="782"/>
      <c r="I24" s="319"/>
    </row>
    <row r="25" spans="1:9" ht="15.75" customHeight="1">
      <c r="A25" s="314" t="s">
        <v>57</v>
      </c>
      <c r="B25" s="310"/>
      <c r="C25" s="308">
        <v>25.3</v>
      </c>
      <c r="D25" s="316"/>
      <c r="E25" s="319"/>
      <c r="F25" s="319"/>
      <c r="G25" s="319"/>
      <c r="H25" s="319"/>
      <c r="I25" s="319"/>
    </row>
    <row r="26" spans="1:9" ht="14.25" customHeight="1">
      <c r="A26" s="320" t="s">
        <v>417</v>
      </c>
      <c r="B26" s="307">
        <f>SUM(B6:B25)</f>
        <v>717.5</v>
      </c>
      <c r="C26" s="307">
        <f>SUM(C6:C25)</f>
        <v>3348.2</v>
      </c>
      <c r="D26" s="321"/>
      <c r="E26" s="319"/>
      <c r="F26" s="319"/>
      <c r="G26" s="319"/>
      <c r="H26" s="319"/>
      <c r="I26" s="319"/>
    </row>
    <row r="27" spans="1:9" ht="17.25" customHeight="1">
      <c r="A27" s="322" t="s">
        <v>119</v>
      </c>
      <c r="B27" s="310"/>
      <c r="C27" s="308">
        <v>15</v>
      </c>
      <c r="D27" s="316"/>
      <c r="E27" s="319"/>
      <c r="F27" s="319"/>
      <c r="G27" s="319"/>
      <c r="H27" s="319"/>
      <c r="I27" s="319"/>
    </row>
    <row r="28" spans="1:9" ht="15.75" customHeight="1">
      <c r="A28" s="314" t="s">
        <v>58</v>
      </c>
      <c r="B28" s="310"/>
      <c r="C28" s="308">
        <v>415</v>
      </c>
    </row>
    <row r="29" spans="1:9" ht="14.25" customHeight="1">
      <c r="A29" s="323" t="s">
        <v>59</v>
      </c>
      <c r="B29" s="324">
        <f>SUM(B26,B27:B28)</f>
        <v>717.5</v>
      </c>
      <c r="C29" s="324">
        <f t="shared" ref="C29" si="0">SUM(C26,C27:C28)</f>
        <v>3778.2</v>
      </c>
      <c r="E29" s="325"/>
    </row>
    <row r="30" spans="1:9" ht="15.75" customHeight="1">
      <c r="A30" s="787" t="s">
        <v>60</v>
      </c>
      <c r="B30" s="788"/>
      <c r="C30" s="789"/>
    </row>
    <row r="31" spans="1:9" ht="19.5" customHeight="1">
      <c r="A31" s="314" t="s">
        <v>61</v>
      </c>
      <c r="B31" s="310"/>
      <c r="C31" s="308">
        <v>180</v>
      </c>
      <c r="D31" s="326"/>
      <c r="E31" s="783"/>
      <c r="F31" s="783"/>
      <c r="G31" s="783"/>
      <c r="H31" s="783"/>
      <c r="I31" s="327"/>
    </row>
    <row r="32" spans="1:9" ht="18" customHeight="1">
      <c r="A32" s="314" t="s">
        <v>121</v>
      </c>
      <c r="B32" s="328"/>
      <c r="C32" s="308">
        <v>60</v>
      </c>
    </row>
    <row r="33" spans="1:18" ht="19.5" customHeight="1">
      <c r="A33" s="320" t="s">
        <v>59</v>
      </c>
      <c r="B33" s="310"/>
      <c r="C33" s="329">
        <f>SUM(C31:C32)</f>
        <v>240</v>
      </c>
      <c r="D33" s="781"/>
      <c r="E33" s="782"/>
      <c r="F33" s="782"/>
      <c r="G33" s="782"/>
      <c r="H33" s="782"/>
      <c r="L33" s="7"/>
      <c r="N33" s="783"/>
      <c r="O33" s="783"/>
      <c r="P33" s="783"/>
      <c r="Q33" s="783"/>
    </row>
    <row r="34" spans="1:18" ht="17.25" customHeight="1">
      <c r="A34" s="774" t="s">
        <v>62</v>
      </c>
      <c r="B34" s="775"/>
      <c r="C34" s="776"/>
      <c r="E34" s="7"/>
      <c r="F34" s="7"/>
      <c r="G34" s="7"/>
      <c r="H34" s="7"/>
      <c r="I34" s="7"/>
      <c r="J34" s="7"/>
      <c r="K34" s="7"/>
      <c r="N34" s="330"/>
      <c r="O34" s="330"/>
      <c r="P34" s="330"/>
      <c r="Q34" s="330"/>
    </row>
    <row r="35" spans="1:18" ht="28.5" customHeight="1">
      <c r="A35" s="331" t="s">
        <v>63</v>
      </c>
      <c r="B35" s="332"/>
      <c r="C35" s="308">
        <v>60</v>
      </c>
      <c r="L35" s="8"/>
    </row>
    <row r="36" spans="1:18" ht="14.25" customHeight="1">
      <c r="A36" s="333" t="s">
        <v>59</v>
      </c>
      <c r="B36" s="334"/>
      <c r="C36" s="329">
        <v>60</v>
      </c>
      <c r="H36" s="8"/>
      <c r="I36" s="8"/>
      <c r="J36" s="8"/>
      <c r="K36" s="8"/>
    </row>
    <row r="37" spans="1:18" ht="23.25" customHeight="1">
      <c r="A37" s="774" t="s">
        <v>64</v>
      </c>
      <c r="B37" s="775"/>
      <c r="C37" s="776"/>
      <c r="D37" s="784"/>
      <c r="E37" s="783"/>
      <c r="F37" s="783"/>
      <c r="G37" s="783"/>
    </row>
    <row r="38" spans="1:18" ht="17.25" customHeight="1">
      <c r="A38" s="335" t="s">
        <v>65</v>
      </c>
      <c r="B38" s="336"/>
      <c r="C38" s="308">
        <v>3</v>
      </c>
    </row>
    <row r="39" spans="1:18" ht="19.5" customHeight="1">
      <c r="A39" s="335" t="s">
        <v>66</v>
      </c>
      <c r="B39" s="336"/>
      <c r="C39" s="308">
        <v>3.6</v>
      </c>
    </row>
    <row r="40" spans="1:18" ht="24" customHeight="1">
      <c r="A40" s="335" t="s">
        <v>67</v>
      </c>
      <c r="B40" s="336"/>
      <c r="C40" s="308">
        <v>5</v>
      </c>
    </row>
    <row r="41" spans="1:18" ht="15" customHeight="1">
      <c r="A41" s="335" t="s">
        <v>68</v>
      </c>
      <c r="B41" s="336"/>
      <c r="C41" s="308">
        <v>3.5</v>
      </c>
    </row>
    <row r="42" spans="1:18" ht="18" customHeight="1">
      <c r="A42" s="335" t="s">
        <v>69</v>
      </c>
      <c r="B42" s="336"/>
      <c r="C42" s="308">
        <v>5.4</v>
      </c>
      <c r="M42" s="9"/>
      <c r="N42" s="9"/>
      <c r="O42" s="9"/>
      <c r="P42" s="9"/>
      <c r="Q42" s="9"/>
    </row>
    <row r="43" spans="1:18" ht="19.5" customHeight="1">
      <c r="A43" s="335" t="s">
        <v>70</v>
      </c>
      <c r="B43" s="336"/>
      <c r="C43" s="308">
        <v>18.2</v>
      </c>
      <c r="D43" s="337"/>
      <c r="L43" s="9"/>
    </row>
    <row r="44" spans="1:18" ht="18.75" customHeight="1">
      <c r="A44" s="338" t="s">
        <v>59</v>
      </c>
      <c r="B44" s="336"/>
      <c r="C44" s="329">
        <f>SUM(C38:C43)</f>
        <v>38.700000000000003</v>
      </c>
      <c r="D44" s="9"/>
      <c r="E44" s="9"/>
      <c r="F44" s="9"/>
      <c r="G44" s="9"/>
      <c r="H44" s="9"/>
      <c r="I44" s="9"/>
      <c r="J44" s="9"/>
      <c r="K44" s="9"/>
    </row>
    <row r="45" spans="1:18" ht="26.25" customHeight="1">
      <c r="A45" s="774" t="s">
        <v>71</v>
      </c>
      <c r="B45" s="775"/>
      <c r="C45" s="776"/>
      <c r="D45" s="305"/>
      <c r="M45" s="9"/>
      <c r="N45" s="9"/>
      <c r="O45" s="9"/>
      <c r="P45" s="9"/>
      <c r="Q45" s="9"/>
      <c r="R45" s="9"/>
    </row>
    <row r="46" spans="1:18" ht="18" customHeight="1">
      <c r="A46" s="314" t="s">
        <v>72</v>
      </c>
      <c r="B46" s="310"/>
      <c r="C46" s="308">
        <v>9.3000000000000007</v>
      </c>
      <c r="D46" s="339"/>
      <c r="L46" s="9"/>
    </row>
    <row r="47" spans="1:18" ht="18.75" customHeight="1">
      <c r="A47" s="314" t="s">
        <v>73</v>
      </c>
      <c r="B47" s="310"/>
      <c r="C47" s="308">
        <v>15.6</v>
      </c>
      <c r="D47" s="339"/>
      <c r="E47" s="9"/>
      <c r="F47" s="9"/>
      <c r="G47" s="9"/>
      <c r="H47" s="9"/>
      <c r="I47" s="9"/>
      <c r="J47" s="9"/>
      <c r="K47" s="9"/>
    </row>
    <row r="48" spans="1:18" ht="18.75" customHeight="1">
      <c r="A48" s="314" t="s">
        <v>74</v>
      </c>
      <c r="B48" s="310"/>
      <c r="C48" s="308">
        <v>14</v>
      </c>
      <c r="D48" s="339"/>
    </row>
    <row r="49" spans="1:12" ht="27" customHeight="1">
      <c r="A49" s="312" t="s">
        <v>75</v>
      </c>
      <c r="B49" s="310"/>
      <c r="C49" s="308">
        <v>10.9</v>
      </c>
      <c r="D49" s="339"/>
    </row>
    <row r="50" spans="1:12" ht="18" customHeight="1">
      <c r="A50" s="312" t="s">
        <v>76</v>
      </c>
      <c r="B50" s="310"/>
      <c r="C50" s="308">
        <v>9.3000000000000007</v>
      </c>
      <c r="D50" s="339"/>
    </row>
    <row r="51" spans="1:12" ht="25.5" customHeight="1">
      <c r="A51" s="312" t="s">
        <v>77</v>
      </c>
      <c r="B51" s="310"/>
      <c r="C51" s="308">
        <v>0</v>
      </c>
      <c r="D51" s="305"/>
    </row>
    <row r="52" spans="1:12" ht="21.75" customHeight="1">
      <c r="A52" s="323" t="s">
        <v>59</v>
      </c>
      <c r="B52" s="310"/>
      <c r="C52" s="329">
        <f>SUM(C46:C51)</f>
        <v>59.099999999999994</v>
      </c>
    </row>
    <row r="53" spans="1:12" ht="21" customHeight="1">
      <c r="A53" s="774" t="s">
        <v>78</v>
      </c>
      <c r="B53" s="775"/>
      <c r="C53" s="776"/>
    </row>
    <row r="54" spans="1:12" ht="21.75" customHeight="1">
      <c r="A54" s="314" t="s">
        <v>79</v>
      </c>
      <c r="B54" s="310"/>
      <c r="C54" s="308">
        <v>50</v>
      </c>
      <c r="D54" s="316"/>
      <c r="E54" s="316"/>
      <c r="F54" s="316"/>
      <c r="G54" s="316"/>
      <c r="H54" s="316"/>
      <c r="I54" s="316"/>
      <c r="J54" s="316"/>
      <c r="K54" s="316"/>
      <c r="L54" s="316"/>
    </row>
    <row r="55" spans="1:12" ht="21.75" customHeight="1">
      <c r="A55" s="314" t="s">
        <v>80</v>
      </c>
      <c r="B55" s="313"/>
      <c r="C55" s="308">
        <v>40</v>
      </c>
      <c r="D55" s="316"/>
      <c r="E55" s="316"/>
      <c r="F55" s="316"/>
      <c r="G55" s="316"/>
      <c r="H55" s="316"/>
      <c r="I55" s="316"/>
      <c r="J55" s="316"/>
      <c r="K55" s="316"/>
      <c r="L55" s="316"/>
    </row>
    <row r="56" spans="1:12" ht="22.5" customHeight="1">
      <c r="A56" s="314" t="s">
        <v>81</v>
      </c>
      <c r="B56" s="310"/>
      <c r="C56" s="308">
        <v>40</v>
      </c>
      <c r="D56" s="316"/>
      <c r="E56" s="316"/>
      <c r="F56" s="316"/>
      <c r="G56" s="316"/>
      <c r="H56" s="316"/>
      <c r="I56" s="316"/>
      <c r="J56" s="316"/>
      <c r="K56" s="316"/>
      <c r="L56" s="316"/>
    </row>
    <row r="57" spans="1:12" ht="21.75" customHeight="1">
      <c r="A57" s="340" t="s">
        <v>82</v>
      </c>
      <c r="B57" s="313"/>
      <c r="C57" s="308">
        <v>24</v>
      </c>
      <c r="D57" s="316"/>
      <c r="E57" s="316"/>
      <c r="F57" s="316"/>
      <c r="G57" s="316"/>
      <c r="H57" s="316"/>
      <c r="I57" s="316"/>
      <c r="J57" s="316"/>
      <c r="K57" s="316"/>
      <c r="L57" s="316"/>
    </row>
    <row r="58" spans="1:12" ht="21.75" customHeight="1">
      <c r="A58" s="314" t="s">
        <v>83</v>
      </c>
      <c r="B58" s="310"/>
      <c r="C58" s="308">
        <v>21</v>
      </c>
      <c r="D58" s="316"/>
      <c r="E58" s="316"/>
      <c r="F58" s="316"/>
      <c r="G58" s="316"/>
      <c r="H58" s="316"/>
      <c r="I58" s="316"/>
      <c r="J58" s="316"/>
      <c r="K58" s="316"/>
      <c r="L58" s="316"/>
    </row>
    <row r="59" spans="1:12" ht="24" customHeight="1">
      <c r="A59" s="314" t="s">
        <v>84</v>
      </c>
      <c r="B59" s="313"/>
      <c r="C59" s="308">
        <v>24</v>
      </c>
      <c r="D59" s="316"/>
      <c r="E59" s="316"/>
      <c r="F59" s="316"/>
      <c r="G59" s="316"/>
      <c r="H59" s="316"/>
      <c r="I59" s="316"/>
      <c r="J59" s="316"/>
      <c r="K59" s="316"/>
      <c r="L59" s="316"/>
    </row>
    <row r="60" spans="1:12" ht="21.75" customHeight="1">
      <c r="A60" s="314" t="s">
        <v>85</v>
      </c>
      <c r="B60" s="310"/>
      <c r="C60" s="308">
        <v>3</v>
      </c>
      <c r="D60" s="316"/>
      <c r="E60" s="316"/>
      <c r="F60" s="316"/>
      <c r="G60" s="316"/>
      <c r="H60" s="316"/>
      <c r="I60" s="316"/>
      <c r="J60" s="316"/>
      <c r="K60" s="316"/>
      <c r="L60" s="316"/>
    </row>
    <row r="61" spans="1:12" ht="20.25" customHeight="1">
      <c r="A61" s="314" t="s">
        <v>86</v>
      </c>
      <c r="B61" s="310"/>
      <c r="C61" s="308">
        <v>0</v>
      </c>
    </row>
    <row r="62" spans="1:12" ht="21" customHeight="1">
      <c r="A62" s="323" t="s">
        <v>59</v>
      </c>
      <c r="B62" s="310"/>
      <c r="C62" s="329">
        <f>SUM(C54:C61)</f>
        <v>202</v>
      </c>
    </row>
    <row r="63" spans="1:12" ht="24" customHeight="1">
      <c r="A63" s="774" t="s">
        <v>87</v>
      </c>
      <c r="B63" s="775"/>
      <c r="C63" s="776"/>
    </row>
    <row r="64" spans="1:12" ht="22.5" customHeight="1">
      <c r="A64" s="314" t="s">
        <v>88</v>
      </c>
      <c r="B64" s="310"/>
      <c r="C64" s="308">
        <v>120</v>
      </c>
    </row>
    <row r="65" spans="1:3" ht="21" customHeight="1">
      <c r="A65" s="314" t="s">
        <v>89</v>
      </c>
      <c r="B65" s="310"/>
      <c r="C65" s="308">
        <v>46.4</v>
      </c>
    </row>
    <row r="66" spans="1:3" ht="23.25" customHeight="1">
      <c r="A66" s="323" t="s">
        <v>59</v>
      </c>
      <c r="B66" s="310"/>
      <c r="C66" s="329">
        <v>167.5</v>
      </c>
    </row>
    <row r="67" spans="1:3" ht="21.75" customHeight="1">
      <c r="A67" s="676" t="s">
        <v>90</v>
      </c>
      <c r="B67" s="341"/>
      <c r="C67" s="342"/>
    </row>
    <row r="68" spans="1:3" ht="19.5" customHeight="1">
      <c r="A68" s="343" t="s">
        <v>91</v>
      </c>
      <c r="B68" s="344"/>
      <c r="C68" s="308">
        <v>10</v>
      </c>
    </row>
    <row r="69" spans="1:3" ht="21" customHeight="1">
      <c r="A69" s="345" t="s">
        <v>92</v>
      </c>
      <c r="B69" s="344"/>
      <c r="C69" s="329">
        <v>10</v>
      </c>
    </row>
    <row r="70" spans="1:3" ht="18.75">
      <c r="A70" s="346" t="s">
        <v>93</v>
      </c>
      <c r="B70" s="347">
        <f t="shared" ref="B70" si="1">SUM(B29,B33,B36,B44,B52,B62,B66,B69)</f>
        <v>717.5</v>
      </c>
      <c r="C70" s="347">
        <f>SUM(C29,C33,C36,C44,C52,C62,C66,C69)</f>
        <v>4555.5</v>
      </c>
    </row>
  </sheetData>
  <mergeCells count="27">
    <mergeCell ref="A45:C45"/>
    <mergeCell ref="A53:C53"/>
    <mergeCell ref="A63:C63"/>
    <mergeCell ref="D11:H11"/>
    <mergeCell ref="I11:K11"/>
    <mergeCell ref="D12:H12"/>
    <mergeCell ref="D13:H13"/>
    <mergeCell ref="D14:H14"/>
    <mergeCell ref="D21:H21"/>
    <mergeCell ref="D24:H24"/>
    <mergeCell ref="A30:C30"/>
    <mergeCell ref="E31:H31"/>
    <mergeCell ref="D15:H15"/>
    <mergeCell ref="D17:H17"/>
    <mergeCell ref="D18:H18"/>
    <mergeCell ref="D19:H19"/>
    <mergeCell ref="D33:H33"/>
    <mergeCell ref="N33:Q33"/>
    <mergeCell ref="A34:C34"/>
    <mergeCell ref="A37:C37"/>
    <mergeCell ref="D37:G37"/>
    <mergeCell ref="E20:I20"/>
    <mergeCell ref="B1:C1"/>
    <mergeCell ref="I10:M10"/>
    <mergeCell ref="A5:C5"/>
    <mergeCell ref="D5:I5"/>
    <mergeCell ref="A2:C3"/>
  </mergeCells>
  <pageMargins left="0.75" right="0.75" top="1" bottom="1" header="0.5" footer="0.5"/>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zoomScaleNormal="100" workbookViewId="0">
      <selection activeCell="B18" sqref="B18"/>
    </sheetView>
  </sheetViews>
  <sheetFormatPr defaultColWidth="9.140625" defaultRowHeight="15"/>
  <cols>
    <col min="1" max="1" width="6.5703125" style="2" customWidth="1"/>
    <col min="2" max="2" width="76.42578125" style="2" customWidth="1"/>
    <col min="3" max="3" width="22.42578125" style="2" customWidth="1"/>
    <col min="4" max="16384" width="9.140625" style="2"/>
  </cols>
  <sheetData>
    <row r="1" spans="1:3">
      <c r="C1" s="678" t="s">
        <v>420</v>
      </c>
    </row>
    <row r="2" spans="1:3" ht="15" customHeight="1">
      <c r="A2" s="790" t="s">
        <v>419</v>
      </c>
      <c r="B2" s="790"/>
      <c r="C2" s="1"/>
    </row>
    <row r="3" spans="1:3" ht="21" customHeight="1" thickBot="1">
      <c r="A3" s="790"/>
      <c r="B3" s="790"/>
      <c r="C3" s="678" t="s">
        <v>370</v>
      </c>
    </row>
    <row r="4" spans="1:3">
      <c r="A4" s="654" t="s">
        <v>94</v>
      </c>
      <c r="B4" s="655" t="s">
        <v>95</v>
      </c>
      <c r="C4" s="658" t="s">
        <v>422</v>
      </c>
    </row>
    <row r="5" spans="1:3" ht="16.5" customHeight="1">
      <c r="A5" s="656">
        <v>1</v>
      </c>
      <c r="B5" s="3" t="s">
        <v>96</v>
      </c>
      <c r="C5" s="659">
        <v>15</v>
      </c>
    </row>
    <row r="6" spans="1:3" ht="27.75" customHeight="1">
      <c r="A6" s="656">
        <v>2</v>
      </c>
      <c r="B6" s="3" t="s">
        <v>97</v>
      </c>
      <c r="C6" s="659">
        <v>15</v>
      </c>
    </row>
    <row r="7" spans="1:3" ht="14.25" customHeight="1">
      <c r="A7" s="656">
        <v>3</v>
      </c>
      <c r="B7" s="3" t="s">
        <v>98</v>
      </c>
      <c r="C7" s="659">
        <v>8</v>
      </c>
    </row>
    <row r="8" spans="1:3" ht="14.25" customHeight="1">
      <c r="A8" s="656">
        <v>4</v>
      </c>
      <c r="B8" s="3" t="s">
        <v>99</v>
      </c>
      <c r="C8" s="659">
        <v>5</v>
      </c>
    </row>
    <row r="9" spans="1:3">
      <c r="A9" s="656">
        <v>5</v>
      </c>
      <c r="B9" s="3" t="s">
        <v>506</v>
      </c>
      <c r="C9" s="659">
        <v>5</v>
      </c>
    </row>
    <row r="10" spans="1:3">
      <c r="A10" s="656">
        <v>6</v>
      </c>
      <c r="B10" s="3" t="s">
        <v>100</v>
      </c>
      <c r="C10" s="659">
        <v>6</v>
      </c>
    </row>
    <row r="11" spans="1:3">
      <c r="A11" s="656">
        <v>7</v>
      </c>
      <c r="B11" s="3" t="s">
        <v>101</v>
      </c>
      <c r="C11" s="659">
        <v>2</v>
      </c>
    </row>
    <row r="12" spans="1:3">
      <c r="A12" s="656">
        <v>8</v>
      </c>
      <c r="B12" s="3" t="s">
        <v>102</v>
      </c>
      <c r="C12" s="659">
        <v>2</v>
      </c>
    </row>
    <row r="13" spans="1:3" ht="15.75" thickBot="1">
      <c r="A13" s="656">
        <v>9</v>
      </c>
      <c r="B13" s="3" t="s">
        <v>103</v>
      </c>
      <c r="C13" s="660">
        <v>2</v>
      </c>
    </row>
    <row r="14" spans="1:3" ht="15.75" thickBot="1">
      <c r="A14" s="677">
        <v>10</v>
      </c>
      <c r="B14" s="657" t="s">
        <v>104</v>
      </c>
      <c r="C14" s="653">
        <f>SUM(C5:C13)</f>
        <v>60</v>
      </c>
    </row>
    <row r="15" spans="1:3" ht="18" customHeight="1">
      <c r="C15" s="1"/>
    </row>
    <row r="16" spans="1:3">
      <c r="B16" s="4"/>
      <c r="C16" s="1"/>
    </row>
    <row r="17" spans="2:3">
      <c r="B17" s="4"/>
      <c r="C17" s="1"/>
    </row>
    <row r="18" spans="2:3">
      <c r="B18" s="4"/>
      <c r="C18" s="1"/>
    </row>
    <row r="19" spans="2:3">
      <c r="B19" s="5"/>
    </row>
    <row r="20" spans="2:3">
      <c r="B20" s="5"/>
    </row>
    <row r="21" spans="2:3">
      <c r="B21" s="6"/>
    </row>
    <row r="22" spans="2:3">
      <c r="B22" s="6"/>
    </row>
  </sheetData>
  <mergeCells count="1">
    <mergeCell ref="A2:B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9"/>
  <sheetViews>
    <sheetView topLeftCell="B1" zoomScaleNormal="100" workbookViewId="0">
      <selection activeCell="B52" sqref="B52"/>
    </sheetView>
  </sheetViews>
  <sheetFormatPr defaultColWidth="9.140625" defaultRowHeight="15.75"/>
  <cols>
    <col min="1" max="1" width="9.5703125" style="63" customWidth="1"/>
    <col min="2" max="2" width="89" style="64" customWidth="1"/>
    <col min="3" max="3" width="11.42578125" style="65" customWidth="1"/>
    <col min="4" max="16384" width="9.140625" style="64"/>
  </cols>
  <sheetData>
    <row r="1" spans="1:5">
      <c r="B1" s="791" t="s">
        <v>466</v>
      </c>
      <c r="C1" s="791"/>
    </row>
    <row r="2" spans="1:5" ht="47.25" customHeight="1">
      <c r="A2" s="792" t="s">
        <v>292</v>
      </c>
      <c r="B2" s="792"/>
      <c r="C2" s="792"/>
    </row>
    <row r="3" spans="1:5" ht="11.25" customHeight="1"/>
    <row r="4" spans="1:5" ht="13.9" customHeight="1">
      <c r="A4" s="793" t="s">
        <v>94</v>
      </c>
      <c r="B4" s="795" t="s">
        <v>293</v>
      </c>
      <c r="C4" s="793" t="s">
        <v>294</v>
      </c>
    </row>
    <row r="5" spans="1:5" ht="13.9" customHeight="1">
      <c r="A5" s="794"/>
      <c r="B5" s="796"/>
      <c r="C5" s="797"/>
    </row>
    <row r="6" spans="1:5" ht="22.15" customHeight="1">
      <c r="A6" s="66" t="s">
        <v>295</v>
      </c>
      <c r="B6" s="799" t="s">
        <v>296</v>
      </c>
      <c r="C6" s="800"/>
    </row>
    <row r="7" spans="1:5" ht="32.450000000000003" customHeight="1" thickBot="1">
      <c r="A7" s="67" t="s">
        <v>297</v>
      </c>
      <c r="B7" s="29" t="s">
        <v>421</v>
      </c>
      <c r="C7" s="68">
        <f>C8+C9+C10</f>
        <v>60</v>
      </c>
    </row>
    <row r="8" spans="1:5" ht="21.6" customHeight="1">
      <c r="A8" s="69"/>
      <c r="B8" s="70" t="s">
        <v>362</v>
      </c>
      <c r="C8" s="30">
        <v>20</v>
      </c>
    </row>
    <row r="9" spans="1:5" ht="30" customHeight="1">
      <c r="A9" s="69"/>
      <c r="B9" s="72" t="s">
        <v>363</v>
      </c>
      <c r="C9" s="31">
        <v>30</v>
      </c>
    </row>
    <row r="10" spans="1:5" ht="30" customHeight="1" thickBot="1">
      <c r="A10" s="73"/>
      <c r="B10" s="74" t="s">
        <v>364</v>
      </c>
      <c r="C10" s="30">
        <v>10</v>
      </c>
    </row>
    <row r="11" spans="1:5" ht="33" customHeight="1" thickBot="1">
      <c r="A11" s="75" t="s">
        <v>298</v>
      </c>
      <c r="B11" s="32" t="s">
        <v>299</v>
      </c>
      <c r="C11" s="68">
        <f>SUM(C12:C22)</f>
        <v>229.5</v>
      </c>
      <c r="D11" s="76"/>
    </row>
    <row r="12" spans="1:5" ht="28.9" customHeight="1">
      <c r="A12" s="77"/>
      <c r="B12" s="78" t="s">
        <v>517</v>
      </c>
      <c r="C12" s="33">
        <v>25</v>
      </c>
    </row>
    <row r="13" spans="1:5" ht="30.75" customHeight="1">
      <c r="A13" s="69"/>
      <c r="B13" s="79" t="s">
        <v>518</v>
      </c>
      <c r="C13" s="30">
        <v>28</v>
      </c>
    </row>
    <row r="14" spans="1:5" ht="25.15" customHeight="1">
      <c r="A14" s="69"/>
      <c r="B14" s="79" t="s">
        <v>519</v>
      </c>
      <c r="C14" s="30">
        <v>2</v>
      </c>
    </row>
    <row r="15" spans="1:5" ht="33.75" customHeight="1">
      <c r="A15" s="69"/>
      <c r="B15" s="79" t="s">
        <v>300</v>
      </c>
      <c r="C15" s="30">
        <v>20</v>
      </c>
      <c r="E15" s="80"/>
    </row>
    <row r="16" spans="1:5" ht="25.15" customHeight="1">
      <c r="A16" s="69"/>
      <c r="B16" s="79" t="s">
        <v>301</v>
      </c>
      <c r="C16" s="30">
        <v>2</v>
      </c>
    </row>
    <row r="17" spans="1:11" ht="22.5" customHeight="1">
      <c r="A17" s="69"/>
      <c r="B17" s="79" t="s">
        <v>302</v>
      </c>
      <c r="C17" s="30">
        <v>19.5</v>
      </c>
    </row>
    <row r="18" spans="1:11" ht="22.5" customHeight="1">
      <c r="A18" s="69"/>
      <c r="B18" s="79" t="s">
        <v>303</v>
      </c>
      <c r="C18" s="30">
        <v>2.5</v>
      </c>
    </row>
    <row r="19" spans="1:11" ht="30" customHeight="1">
      <c r="A19" s="71"/>
      <c r="B19" s="81" t="s">
        <v>365</v>
      </c>
      <c r="C19" s="34">
        <v>30</v>
      </c>
    </row>
    <row r="20" spans="1:11" ht="30" customHeight="1">
      <c r="A20" s="71"/>
      <c r="B20" s="81" t="s">
        <v>304</v>
      </c>
      <c r="C20" s="34">
        <v>35</v>
      </c>
    </row>
    <row r="21" spans="1:11" ht="30" customHeight="1">
      <c r="A21" s="71"/>
      <c r="B21" s="81" t="s">
        <v>305</v>
      </c>
      <c r="C21" s="34">
        <v>60</v>
      </c>
    </row>
    <row r="22" spans="1:11" ht="30" customHeight="1">
      <c r="A22" s="69"/>
      <c r="B22" s="82" t="s">
        <v>522</v>
      </c>
      <c r="C22" s="30">
        <v>5.5</v>
      </c>
    </row>
    <row r="23" spans="1:11" ht="31.5" customHeight="1">
      <c r="A23" s="83" t="s">
        <v>306</v>
      </c>
      <c r="B23" s="35" t="s">
        <v>307</v>
      </c>
      <c r="C23" s="84">
        <f>SUM(C24:C27)</f>
        <v>98.5</v>
      </c>
    </row>
    <row r="24" spans="1:11" s="76" customFormat="1" ht="31.5" customHeight="1">
      <c r="A24" s="85"/>
      <c r="B24" s="36" t="s">
        <v>308</v>
      </c>
      <c r="C24" s="86">
        <v>3</v>
      </c>
      <c r="D24" s="64"/>
    </row>
    <row r="25" spans="1:11" s="76" customFormat="1" ht="31.5" customHeight="1">
      <c r="A25" s="87"/>
      <c r="B25" s="36" t="s">
        <v>309</v>
      </c>
      <c r="C25" s="86">
        <v>15</v>
      </c>
      <c r="D25" s="64"/>
    </row>
    <row r="26" spans="1:11" ht="31.5" customHeight="1">
      <c r="A26" s="85"/>
      <c r="B26" s="36" t="s">
        <v>310</v>
      </c>
      <c r="C26" s="86">
        <v>5.5</v>
      </c>
    </row>
    <row r="27" spans="1:11" ht="34.5" customHeight="1">
      <c r="A27" s="88"/>
      <c r="B27" s="74" t="s">
        <v>366</v>
      </c>
      <c r="C27" s="30">
        <v>75</v>
      </c>
      <c r="D27" s="80"/>
      <c r="E27" s="89"/>
      <c r="F27" s="89"/>
      <c r="G27" s="89"/>
      <c r="H27" s="89"/>
      <c r="I27" s="89"/>
      <c r="J27" s="89"/>
      <c r="K27" s="89"/>
    </row>
    <row r="28" spans="1:11" ht="34.5" customHeight="1">
      <c r="A28" s="69"/>
      <c r="B28" s="35" t="s">
        <v>311</v>
      </c>
      <c r="C28" s="60">
        <f>C29+C30+C31</f>
        <v>47</v>
      </c>
    </row>
    <row r="29" spans="1:11" ht="34.5" customHeight="1">
      <c r="A29" s="69"/>
      <c r="B29" s="61" t="s">
        <v>520</v>
      </c>
      <c r="C29" s="86">
        <v>7</v>
      </c>
    </row>
    <row r="30" spans="1:11" ht="34.5" customHeight="1">
      <c r="A30" s="69"/>
      <c r="B30" s="81" t="s">
        <v>521</v>
      </c>
      <c r="C30" s="34">
        <v>22</v>
      </c>
    </row>
    <row r="31" spans="1:11" ht="34.5" customHeight="1">
      <c r="A31" s="69"/>
      <c r="B31" s="82" t="s">
        <v>312</v>
      </c>
      <c r="C31" s="30">
        <v>18</v>
      </c>
    </row>
    <row r="32" spans="1:11" ht="34.5" customHeight="1" thickBot="1">
      <c r="A32" s="90" t="s">
        <v>313</v>
      </c>
      <c r="B32" s="37" t="s">
        <v>314</v>
      </c>
      <c r="C32" s="91">
        <f>C33</f>
        <v>75</v>
      </c>
    </row>
    <row r="33" spans="1:11" ht="32.25" thickBot="1">
      <c r="A33" s="77"/>
      <c r="B33" s="92" t="s">
        <v>315</v>
      </c>
      <c r="C33" s="38">
        <v>75</v>
      </c>
      <c r="D33" s="76"/>
    </row>
    <row r="34" spans="1:11" ht="24.75" customHeight="1" thickBot="1">
      <c r="A34" s="83" t="s">
        <v>316</v>
      </c>
      <c r="B34" s="39" t="s">
        <v>317</v>
      </c>
      <c r="C34" s="93">
        <f>C35</f>
        <v>19</v>
      </c>
    </row>
    <row r="35" spans="1:11" ht="21" customHeight="1" thickBot="1">
      <c r="A35" s="69"/>
      <c r="B35" s="40" t="s">
        <v>318</v>
      </c>
      <c r="C35" s="30">
        <v>19</v>
      </c>
      <c r="D35" s="89"/>
      <c r="E35" s="89"/>
      <c r="F35" s="89"/>
      <c r="G35" s="89"/>
    </row>
    <row r="36" spans="1:11" ht="16.5" thickBot="1">
      <c r="A36" s="94" t="s">
        <v>319</v>
      </c>
      <c r="B36" s="41" t="s">
        <v>320</v>
      </c>
      <c r="C36" s="93">
        <f>SUM(C37:C38)</f>
        <v>50</v>
      </c>
      <c r="D36" s="89"/>
      <c r="E36" s="89"/>
      <c r="F36" s="89"/>
      <c r="G36" s="89"/>
      <c r="K36" s="95"/>
    </row>
    <row r="37" spans="1:11" ht="36" customHeight="1">
      <c r="A37" s="96"/>
      <c r="B37" s="97" t="s">
        <v>523</v>
      </c>
      <c r="C37" s="30">
        <v>25</v>
      </c>
      <c r="D37" s="80"/>
    </row>
    <row r="38" spans="1:11" ht="21.75" customHeight="1" thickBot="1">
      <c r="A38" s="69"/>
      <c r="B38" s="98" t="s">
        <v>321</v>
      </c>
      <c r="C38" s="30">
        <v>25</v>
      </c>
    </row>
    <row r="39" spans="1:11" ht="31.5" customHeight="1" thickBot="1">
      <c r="A39" s="99" t="s">
        <v>322</v>
      </c>
      <c r="B39" s="42" t="s">
        <v>323</v>
      </c>
      <c r="C39" s="93">
        <f>C40</f>
        <v>68</v>
      </c>
    </row>
    <row r="40" spans="1:11" ht="21.75" customHeight="1" thickBot="1">
      <c r="A40" s="100"/>
      <c r="B40" s="62" t="s">
        <v>367</v>
      </c>
      <c r="C40" s="101">
        <v>68</v>
      </c>
    </row>
    <row r="41" spans="1:11" ht="33" customHeight="1" thickBot="1">
      <c r="A41" s="99" t="s">
        <v>324</v>
      </c>
      <c r="B41" s="43" t="s">
        <v>325</v>
      </c>
      <c r="C41" s="44">
        <f>SUM(C42:C43)</f>
        <v>23</v>
      </c>
    </row>
    <row r="42" spans="1:11" ht="42.6" customHeight="1">
      <c r="A42" s="88"/>
      <c r="B42" s="98" t="s">
        <v>326</v>
      </c>
      <c r="C42" s="30">
        <v>5</v>
      </c>
    </row>
    <row r="43" spans="1:11" ht="29.25" customHeight="1">
      <c r="A43" s="88"/>
      <c r="B43" s="98" t="s">
        <v>524</v>
      </c>
      <c r="C43" s="30">
        <v>18</v>
      </c>
    </row>
    <row r="44" spans="1:11" ht="30" customHeight="1" thickBot="1">
      <c r="A44" s="102"/>
      <c r="B44" s="103" t="s">
        <v>327</v>
      </c>
      <c r="C44" s="45">
        <f>C7+C11+C23+C28+C32+C34+C36+C39+C41</f>
        <v>670</v>
      </c>
    </row>
    <row r="45" spans="1:11" ht="18.600000000000001" customHeight="1">
      <c r="A45" s="104" t="s">
        <v>328</v>
      </c>
      <c r="B45" s="801" t="s">
        <v>329</v>
      </c>
      <c r="C45" s="802"/>
    </row>
    <row r="46" spans="1:11">
      <c r="A46" s="105" t="s">
        <v>330</v>
      </c>
      <c r="B46" s="46" t="s">
        <v>331</v>
      </c>
      <c r="C46" s="93">
        <f>SUM(C47:C50)</f>
        <v>340</v>
      </c>
    </row>
    <row r="47" spans="1:11" s="89" customFormat="1" ht="27" customHeight="1">
      <c r="A47" s="106"/>
      <c r="B47" s="47" t="s">
        <v>332</v>
      </c>
      <c r="C47" s="38">
        <v>130</v>
      </c>
      <c r="D47" s="107"/>
    </row>
    <row r="48" spans="1:11" s="89" customFormat="1" ht="25.9" customHeight="1">
      <c r="A48" s="106"/>
      <c r="B48" s="47" t="s">
        <v>333</v>
      </c>
      <c r="C48" s="38">
        <v>125</v>
      </c>
    </row>
    <row r="49" spans="1:7" s="89" customFormat="1" ht="25.9" customHeight="1">
      <c r="A49" s="106"/>
      <c r="B49" s="48" t="s">
        <v>525</v>
      </c>
      <c r="C49" s="38">
        <v>45</v>
      </c>
    </row>
    <row r="50" spans="1:7" s="89" customFormat="1" ht="25.9" customHeight="1">
      <c r="A50" s="106"/>
      <c r="B50" s="48" t="s">
        <v>334</v>
      </c>
      <c r="C50" s="38">
        <v>40</v>
      </c>
    </row>
    <row r="51" spans="1:7">
      <c r="A51" s="108" t="s">
        <v>335</v>
      </c>
      <c r="B51" s="49" t="s">
        <v>336</v>
      </c>
      <c r="C51" s="109">
        <f>C52</f>
        <v>120</v>
      </c>
    </row>
    <row r="52" spans="1:7" ht="24.75" customHeight="1" thickBot="1">
      <c r="A52" s="110"/>
      <c r="B52" s="48" t="s">
        <v>526</v>
      </c>
      <c r="C52" s="30">
        <v>120</v>
      </c>
    </row>
    <row r="53" spans="1:7" ht="24" customHeight="1">
      <c r="A53" s="111"/>
      <c r="B53" s="50" t="s">
        <v>337</v>
      </c>
      <c r="C53" s="51">
        <f>SUM(C46+C51)</f>
        <v>460</v>
      </c>
    </row>
    <row r="54" spans="1:7" ht="32.450000000000003" customHeight="1">
      <c r="A54" s="112" t="s">
        <v>338</v>
      </c>
      <c r="B54" s="803" t="s">
        <v>339</v>
      </c>
      <c r="C54" s="803"/>
    </row>
    <row r="55" spans="1:7" ht="30.6" customHeight="1">
      <c r="A55" s="113" t="s">
        <v>340</v>
      </c>
      <c r="B55" s="49" t="s">
        <v>341</v>
      </c>
      <c r="C55" s="109">
        <f>C56</f>
        <v>220</v>
      </c>
    </row>
    <row r="56" spans="1:7" ht="38.25" customHeight="1">
      <c r="A56" s="114"/>
      <c r="B56" s="115" t="s">
        <v>342</v>
      </c>
      <c r="C56" s="86">
        <v>220</v>
      </c>
      <c r="D56" s="76"/>
    </row>
    <row r="57" spans="1:7" ht="30" customHeight="1">
      <c r="A57" s="113"/>
      <c r="B57" s="52" t="s">
        <v>343</v>
      </c>
      <c r="C57" s="53">
        <f>SUM(C55)</f>
        <v>220</v>
      </c>
    </row>
    <row r="58" spans="1:7" ht="30.6" customHeight="1">
      <c r="A58" s="113" t="s">
        <v>344</v>
      </c>
      <c r="B58" s="804" t="s">
        <v>345</v>
      </c>
      <c r="C58" s="804"/>
    </row>
    <row r="59" spans="1:7" ht="31.5">
      <c r="A59" s="116" t="s">
        <v>346</v>
      </c>
      <c r="B59" s="117" t="s">
        <v>347</v>
      </c>
      <c r="C59" s="93">
        <f>SUM(C60)</f>
        <v>50</v>
      </c>
    </row>
    <row r="60" spans="1:7" ht="45.6" customHeight="1">
      <c r="A60" s="118"/>
      <c r="B60" s="119" t="s">
        <v>348</v>
      </c>
      <c r="C60" s="86">
        <v>50</v>
      </c>
    </row>
    <row r="61" spans="1:7" ht="31.5">
      <c r="A61" s="120"/>
      <c r="B61" s="121" t="s">
        <v>349</v>
      </c>
      <c r="C61" s="122">
        <f>C59</f>
        <v>50</v>
      </c>
    </row>
    <row r="62" spans="1:7" ht="31.15" customHeight="1">
      <c r="A62" s="123" t="s">
        <v>350</v>
      </c>
      <c r="B62" s="805" t="s">
        <v>351</v>
      </c>
      <c r="C62" s="805"/>
    </row>
    <row r="63" spans="1:7" ht="31.15" customHeight="1">
      <c r="A63" s="116" t="s">
        <v>352</v>
      </c>
      <c r="B63" s="117" t="s">
        <v>353</v>
      </c>
      <c r="C63" s="93">
        <f>SUM(C64)</f>
        <v>200</v>
      </c>
    </row>
    <row r="64" spans="1:7" ht="72" customHeight="1">
      <c r="A64" s="118"/>
      <c r="B64" s="124" t="s">
        <v>354</v>
      </c>
      <c r="C64" s="125">
        <v>200</v>
      </c>
      <c r="G64" s="89"/>
    </row>
    <row r="65" spans="1:3" ht="33" customHeight="1">
      <c r="A65" s="126"/>
      <c r="B65" s="127" t="s">
        <v>355</v>
      </c>
      <c r="C65" s="122">
        <f>SUM(C63)</f>
        <v>200</v>
      </c>
    </row>
    <row r="66" spans="1:3" ht="18" customHeight="1">
      <c r="A66" s="123" t="s">
        <v>356</v>
      </c>
      <c r="B66" s="798" t="s">
        <v>357</v>
      </c>
      <c r="C66" s="798"/>
    </row>
    <row r="67" spans="1:3">
      <c r="A67" s="123" t="s">
        <v>358</v>
      </c>
      <c r="B67" s="128" t="s">
        <v>359</v>
      </c>
      <c r="C67" s="122">
        <v>110</v>
      </c>
    </row>
    <row r="68" spans="1:3">
      <c r="A68" s="129"/>
      <c r="B68" s="130"/>
      <c r="C68" s="131"/>
    </row>
    <row r="69" spans="1:3">
      <c r="A69" s="132"/>
      <c r="B69" s="133" t="s">
        <v>120</v>
      </c>
      <c r="C69" s="134">
        <f>SUM(C67+C65+C61+C57+C53+C44)</f>
        <v>1710</v>
      </c>
    </row>
  </sheetData>
  <mergeCells count="11">
    <mergeCell ref="B66:C66"/>
    <mergeCell ref="B6:C6"/>
    <mergeCell ref="B45:C45"/>
    <mergeCell ref="B54:C54"/>
    <mergeCell ref="B58:C58"/>
    <mergeCell ref="B62:C62"/>
    <mergeCell ref="B1:C1"/>
    <mergeCell ref="A2:C2"/>
    <mergeCell ref="A4:A5"/>
    <mergeCell ref="B4:B5"/>
    <mergeCell ref="C4:C5"/>
  </mergeCells>
  <pageMargins left="3.937007874015748E-2" right="3.937007874015748E-2" top="0.47244094488188981" bottom="0.39370078740157483" header="0.31496062992125984" footer="0.31496062992125984"/>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
  <sheetViews>
    <sheetView workbookViewId="0">
      <selection activeCell="I8" sqref="I8"/>
    </sheetView>
  </sheetViews>
  <sheetFormatPr defaultRowHeight="12"/>
  <cols>
    <col min="1" max="1" width="2.5703125" style="348" customWidth="1"/>
    <col min="2" max="2" width="13.85546875" style="348" customWidth="1"/>
    <col min="3" max="3" width="9.42578125" style="348" customWidth="1"/>
    <col min="4" max="4" width="7.28515625" style="348" customWidth="1"/>
    <col min="5" max="5" width="6.85546875" style="348" customWidth="1"/>
    <col min="6" max="6" width="7.85546875" style="348" customWidth="1"/>
    <col min="7" max="7" width="6.7109375" style="348" customWidth="1"/>
    <col min="8" max="8" width="6.28515625" style="348" customWidth="1"/>
    <col min="9" max="9" width="8.5703125" style="348" customWidth="1"/>
    <col min="10" max="10" width="8.7109375" style="348" customWidth="1"/>
    <col min="11" max="11" width="5.140625" style="348" customWidth="1"/>
    <col min="12" max="12" width="9.140625" style="348" customWidth="1"/>
    <col min="13" max="13" width="6.140625" style="348" customWidth="1"/>
    <col min="14" max="15" width="7.5703125" style="348" customWidth="1"/>
    <col min="16" max="16" width="6.7109375" style="348" customWidth="1"/>
    <col min="17" max="17" width="5.28515625" style="348" customWidth="1"/>
    <col min="18" max="18" width="5.85546875" style="348" customWidth="1"/>
    <col min="19" max="19" width="6.140625" style="348" customWidth="1"/>
    <col min="20" max="20" width="5.42578125" style="348" customWidth="1"/>
    <col min="21" max="21" width="5.28515625" style="348" customWidth="1"/>
    <col min="22" max="22" width="6.5703125" style="348" customWidth="1"/>
    <col min="23" max="23" width="5.7109375" style="348" customWidth="1"/>
    <col min="24" max="24" width="5.42578125" style="348" customWidth="1"/>
    <col min="25" max="256" width="9.140625" style="348"/>
    <col min="257" max="257" width="2.5703125" style="348" customWidth="1"/>
    <col min="258" max="258" width="13.85546875" style="348" customWidth="1"/>
    <col min="259" max="259" width="9.42578125" style="348" customWidth="1"/>
    <col min="260" max="260" width="7.28515625" style="348" customWidth="1"/>
    <col min="261" max="261" width="6.85546875" style="348" customWidth="1"/>
    <col min="262" max="262" width="7.85546875" style="348" customWidth="1"/>
    <col min="263" max="263" width="6.7109375" style="348" customWidth="1"/>
    <col min="264" max="264" width="6.28515625" style="348" customWidth="1"/>
    <col min="265" max="265" width="8.5703125" style="348" customWidth="1"/>
    <col min="266" max="266" width="8.7109375" style="348" customWidth="1"/>
    <col min="267" max="267" width="5.140625" style="348" customWidth="1"/>
    <col min="268" max="268" width="9.140625" style="348" customWidth="1"/>
    <col min="269" max="269" width="6.140625" style="348" customWidth="1"/>
    <col min="270" max="271" width="7.5703125" style="348" customWidth="1"/>
    <col min="272" max="272" width="6.7109375" style="348" customWidth="1"/>
    <col min="273" max="273" width="5.28515625" style="348" customWidth="1"/>
    <col min="274" max="274" width="5.85546875" style="348" customWidth="1"/>
    <col min="275" max="275" width="6.140625" style="348" customWidth="1"/>
    <col min="276" max="276" width="5.42578125" style="348" customWidth="1"/>
    <col min="277" max="277" width="5.28515625" style="348" customWidth="1"/>
    <col min="278" max="278" width="6.5703125" style="348" customWidth="1"/>
    <col min="279" max="279" width="5.7109375" style="348" customWidth="1"/>
    <col min="280" max="280" width="5.42578125" style="348" customWidth="1"/>
    <col min="281" max="512" width="9.140625" style="348"/>
    <col min="513" max="513" width="2.5703125" style="348" customWidth="1"/>
    <col min="514" max="514" width="13.85546875" style="348" customWidth="1"/>
    <col min="515" max="515" width="9.42578125" style="348" customWidth="1"/>
    <col min="516" max="516" width="7.28515625" style="348" customWidth="1"/>
    <col min="517" max="517" width="6.85546875" style="348" customWidth="1"/>
    <col min="518" max="518" width="7.85546875" style="348" customWidth="1"/>
    <col min="519" max="519" width="6.7109375" style="348" customWidth="1"/>
    <col min="520" max="520" width="6.28515625" style="348" customWidth="1"/>
    <col min="521" max="521" width="8.5703125" style="348" customWidth="1"/>
    <col min="522" max="522" width="8.7109375" style="348" customWidth="1"/>
    <col min="523" max="523" width="5.140625" style="348" customWidth="1"/>
    <col min="524" max="524" width="9.140625" style="348" customWidth="1"/>
    <col min="525" max="525" width="6.140625" style="348" customWidth="1"/>
    <col min="526" max="527" width="7.5703125" style="348" customWidth="1"/>
    <col min="528" max="528" width="6.7109375" style="348" customWidth="1"/>
    <col min="529" max="529" width="5.28515625" style="348" customWidth="1"/>
    <col min="530" max="530" width="5.85546875" style="348" customWidth="1"/>
    <col min="531" max="531" width="6.140625" style="348" customWidth="1"/>
    <col min="532" max="532" width="5.42578125" style="348" customWidth="1"/>
    <col min="533" max="533" width="5.28515625" style="348" customWidth="1"/>
    <col min="534" max="534" width="6.5703125" style="348" customWidth="1"/>
    <col min="535" max="535" width="5.7109375" style="348" customWidth="1"/>
    <col min="536" max="536" width="5.42578125" style="348" customWidth="1"/>
    <col min="537" max="768" width="9.140625" style="348"/>
    <col min="769" max="769" width="2.5703125" style="348" customWidth="1"/>
    <col min="770" max="770" width="13.85546875" style="348" customWidth="1"/>
    <col min="771" max="771" width="9.42578125" style="348" customWidth="1"/>
    <col min="772" max="772" width="7.28515625" style="348" customWidth="1"/>
    <col min="773" max="773" width="6.85546875" style="348" customWidth="1"/>
    <col min="774" max="774" width="7.85546875" style="348" customWidth="1"/>
    <col min="775" max="775" width="6.7109375" style="348" customWidth="1"/>
    <col min="776" max="776" width="6.28515625" style="348" customWidth="1"/>
    <col min="777" max="777" width="8.5703125" style="348" customWidth="1"/>
    <col min="778" max="778" width="8.7109375" style="348" customWidth="1"/>
    <col min="779" max="779" width="5.140625" style="348" customWidth="1"/>
    <col min="780" max="780" width="9.140625" style="348" customWidth="1"/>
    <col min="781" max="781" width="6.140625" style="348" customWidth="1"/>
    <col min="782" max="783" width="7.5703125" style="348" customWidth="1"/>
    <col min="784" max="784" width="6.7109375" style="348" customWidth="1"/>
    <col min="785" max="785" width="5.28515625" style="348" customWidth="1"/>
    <col min="786" max="786" width="5.85546875" style="348" customWidth="1"/>
    <col min="787" max="787" width="6.140625" style="348" customWidth="1"/>
    <col min="788" max="788" width="5.42578125" style="348" customWidth="1"/>
    <col min="789" max="789" width="5.28515625" style="348" customWidth="1"/>
    <col min="790" max="790" width="6.5703125" style="348" customWidth="1"/>
    <col min="791" max="791" width="5.7109375" style="348" customWidth="1"/>
    <col min="792" max="792" width="5.42578125" style="348" customWidth="1"/>
    <col min="793" max="1024" width="9.140625" style="348"/>
    <col min="1025" max="1025" width="2.5703125" style="348" customWidth="1"/>
    <col min="1026" max="1026" width="13.85546875" style="348" customWidth="1"/>
    <col min="1027" max="1027" width="9.42578125" style="348" customWidth="1"/>
    <col min="1028" max="1028" width="7.28515625" style="348" customWidth="1"/>
    <col min="1029" max="1029" width="6.85546875" style="348" customWidth="1"/>
    <col min="1030" max="1030" width="7.85546875" style="348" customWidth="1"/>
    <col min="1031" max="1031" width="6.7109375" style="348" customWidth="1"/>
    <col min="1032" max="1032" width="6.28515625" style="348" customWidth="1"/>
    <col min="1033" max="1033" width="8.5703125" style="348" customWidth="1"/>
    <col min="1034" max="1034" width="8.7109375" style="348" customWidth="1"/>
    <col min="1035" max="1035" width="5.140625" style="348" customWidth="1"/>
    <col min="1036" max="1036" width="9.140625" style="348" customWidth="1"/>
    <col min="1037" max="1037" width="6.140625" style="348" customWidth="1"/>
    <col min="1038" max="1039" width="7.5703125" style="348" customWidth="1"/>
    <col min="1040" max="1040" width="6.7109375" style="348" customWidth="1"/>
    <col min="1041" max="1041" width="5.28515625" style="348" customWidth="1"/>
    <col min="1042" max="1042" width="5.85546875" style="348" customWidth="1"/>
    <col min="1043" max="1043" width="6.140625" style="348" customWidth="1"/>
    <col min="1044" max="1044" width="5.42578125" style="348" customWidth="1"/>
    <col min="1045" max="1045" width="5.28515625" style="348" customWidth="1"/>
    <col min="1046" max="1046" width="6.5703125" style="348" customWidth="1"/>
    <col min="1047" max="1047" width="5.7109375" style="348" customWidth="1"/>
    <col min="1048" max="1048" width="5.42578125" style="348" customWidth="1"/>
    <col min="1049" max="1280" width="9.140625" style="348"/>
    <col min="1281" max="1281" width="2.5703125" style="348" customWidth="1"/>
    <col min="1282" max="1282" width="13.85546875" style="348" customWidth="1"/>
    <col min="1283" max="1283" width="9.42578125" style="348" customWidth="1"/>
    <col min="1284" max="1284" width="7.28515625" style="348" customWidth="1"/>
    <col min="1285" max="1285" width="6.85546875" style="348" customWidth="1"/>
    <col min="1286" max="1286" width="7.85546875" style="348" customWidth="1"/>
    <col min="1287" max="1287" width="6.7109375" style="348" customWidth="1"/>
    <col min="1288" max="1288" width="6.28515625" style="348" customWidth="1"/>
    <col min="1289" max="1289" width="8.5703125" style="348" customWidth="1"/>
    <col min="1290" max="1290" width="8.7109375" style="348" customWidth="1"/>
    <col min="1291" max="1291" width="5.140625" style="348" customWidth="1"/>
    <col min="1292" max="1292" width="9.140625" style="348" customWidth="1"/>
    <col min="1293" max="1293" width="6.140625" style="348" customWidth="1"/>
    <col min="1294" max="1295" width="7.5703125" style="348" customWidth="1"/>
    <col min="1296" max="1296" width="6.7109375" style="348" customWidth="1"/>
    <col min="1297" max="1297" width="5.28515625" style="348" customWidth="1"/>
    <col min="1298" max="1298" width="5.85546875" style="348" customWidth="1"/>
    <col min="1299" max="1299" width="6.140625" style="348" customWidth="1"/>
    <col min="1300" max="1300" width="5.42578125" style="348" customWidth="1"/>
    <col min="1301" max="1301" width="5.28515625" style="348" customWidth="1"/>
    <col min="1302" max="1302" width="6.5703125" style="348" customWidth="1"/>
    <col min="1303" max="1303" width="5.7109375" style="348" customWidth="1"/>
    <col min="1304" max="1304" width="5.42578125" style="348" customWidth="1"/>
    <col min="1305" max="1536" width="9.140625" style="348"/>
    <col min="1537" max="1537" width="2.5703125" style="348" customWidth="1"/>
    <col min="1538" max="1538" width="13.85546875" style="348" customWidth="1"/>
    <col min="1539" max="1539" width="9.42578125" style="348" customWidth="1"/>
    <col min="1540" max="1540" width="7.28515625" style="348" customWidth="1"/>
    <col min="1541" max="1541" width="6.85546875" style="348" customWidth="1"/>
    <col min="1542" max="1542" width="7.85546875" style="348" customWidth="1"/>
    <col min="1543" max="1543" width="6.7109375" style="348" customWidth="1"/>
    <col min="1544" max="1544" width="6.28515625" style="348" customWidth="1"/>
    <col min="1545" max="1545" width="8.5703125" style="348" customWidth="1"/>
    <col min="1546" max="1546" width="8.7109375" style="348" customWidth="1"/>
    <col min="1547" max="1547" width="5.140625" style="348" customWidth="1"/>
    <col min="1548" max="1548" width="9.140625" style="348" customWidth="1"/>
    <col min="1549" max="1549" width="6.140625" style="348" customWidth="1"/>
    <col min="1550" max="1551" width="7.5703125" style="348" customWidth="1"/>
    <col min="1552" max="1552" width="6.7109375" style="348" customWidth="1"/>
    <col min="1553" max="1553" width="5.28515625" style="348" customWidth="1"/>
    <col min="1554" max="1554" width="5.85546875" style="348" customWidth="1"/>
    <col min="1555" max="1555" width="6.140625" style="348" customWidth="1"/>
    <col min="1556" max="1556" width="5.42578125" style="348" customWidth="1"/>
    <col min="1557" max="1557" width="5.28515625" style="348" customWidth="1"/>
    <col min="1558" max="1558" width="6.5703125" style="348" customWidth="1"/>
    <col min="1559" max="1559" width="5.7109375" style="348" customWidth="1"/>
    <col min="1560" max="1560" width="5.42578125" style="348" customWidth="1"/>
    <col min="1561" max="1792" width="9.140625" style="348"/>
    <col min="1793" max="1793" width="2.5703125" style="348" customWidth="1"/>
    <col min="1794" max="1794" width="13.85546875" style="348" customWidth="1"/>
    <col min="1795" max="1795" width="9.42578125" style="348" customWidth="1"/>
    <col min="1796" max="1796" width="7.28515625" style="348" customWidth="1"/>
    <col min="1797" max="1797" width="6.85546875" style="348" customWidth="1"/>
    <col min="1798" max="1798" width="7.85546875" style="348" customWidth="1"/>
    <col min="1799" max="1799" width="6.7109375" style="348" customWidth="1"/>
    <col min="1800" max="1800" width="6.28515625" style="348" customWidth="1"/>
    <col min="1801" max="1801" width="8.5703125" style="348" customWidth="1"/>
    <col min="1802" max="1802" width="8.7109375" style="348" customWidth="1"/>
    <col min="1803" max="1803" width="5.140625" style="348" customWidth="1"/>
    <col min="1804" max="1804" width="9.140625" style="348" customWidth="1"/>
    <col min="1805" max="1805" width="6.140625" style="348" customWidth="1"/>
    <col min="1806" max="1807" width="7.5703125" style="348" customWidth="1"/>
    <col min="1808" max="1808" width="6.7109375" style="348" customWidth="1"/>
    <col min="1809" max="1809" width="5.28515625" style="348" customWidth="1"/>
    <col min="1810" max="1810" width="5.85546875" style="348" customWidth="1"/>
    <col min="1811" max="1811" width="6.140625" style="348" customWidth="1"/>
    <col min="1812" max="1812" width="5.42578125" style="348" customWidth="1"/>
    <col min="1813" max="1813" width="5.28515625" style="348" customWidth="1"/>
    <col min="1814" max="1814" width="6.5703125" style="348" customWidth="1"/>
    <col min="1815" max="1815" width="5.7109375" style="348" customWidth="1"/>
    <col min="1816" max="1816" width="5.42578125" style="348" customWidth="1"/>
    <col min="1817" max="2048" width="9.140625" style="348"/>
    <col min="2049" max="2049" width="2.5703125" style="348" customWidth="1"/>
    <col min="2050" max="2050" width="13.85546875" style="348" customWidth="1"/>
    <col min="2051" max="2051" width="9.42578125" style="348" customWidth="1"/>
    <col min="2052" max="2052" width="7.28515625" style="348" customWidth="1"/>
    <col min="2053" max="2053" width="6.85546875" style="348" customWidth="1"/>
    <col min="2054" max="2054" width="7.85546875" style="348" customWidth="1"/>
    <col min="2055" max="2055" width="6.7109375" style="348" customWidth="1"/>
    <col min="2056" max="2056" width="6.28515625" style="348" customWidth="1"/>
    <col min="2057" max="2057" width="8.5703125" style="348" customWidth="1"/>
    <col min="2058" max="2058" width="8.7109375" style="348" customWidth="1"/>
    <col min="2059" max="2059" width="5.140625" style="348" customWidth="1"/>
    <col min="2060" max="2060" width="9.140625" style="348" customWidth="1"/>
    <col min="2061" max="2061" width="6.140625" style="348" customWidth="1"/>
    <col min="2062" max="2063" width="7.5703125" style="348" customWidth="1"/>
    <col min="2064" max="2064" width="6.7109375" style="348" customWidth="1"/>
    <col min="2065" max="2065" width="5.28515625" style="348" customWidth="1"/>
    <col min="2066" max="2066" width="5.85546875" style="348" customWidth="1"/>
    <col min="2067" max="2067" width="6.140625" style="348" customWidth="1"/>
    <col min="2068" max="2068" width="5.42578125" style="348" customWidth="1"/>
    <col min="2069" max="2069" width="5.28515625" style="348" customWidth="1"/>
    <col min="2070" max="2070" width="6.5703125" style="348" customWidth="1"/>
    <col min="2071" max="2071" width="5.7109375" style="348" customWidth="1"/>
    <col min="2072" max="2072" width="5.42578125" style="348" customWidth="1"/>
    <col min="2073" max="2304" width="9.140625" style="348"/>
    <col min="2305" max="2305" width="2.5703125" style="348" customWidth="1"/>
    <col min="2306" max="2306" width="13.85546875" style="348" customWidth="1"/>
    <col min="2307" max="2307" width="9.42578125" style="348" customWidth="1"/>
    <col min="2308" max="2308" width="7.28515625" style="348" customWidth="1"/>
    <col min="2309" max="2309" width="6.85546875" style="348" customWidth="1"/>
    <col min="2310" max="2310" width="7.85546875" style="348" customWidth="1"/>
    <col min="2311" max="2311" width="6.7109375" style="348" customWidth="1"/>
    <col min="2312" max="2312" width="6.28515625" style="348" customWidth="1"/>
    <col min="2313" max="2313" width="8.5703125" style="348" customWidth="1"/>
    <col min="2314" max="2314" width="8.7109375" style="348" customWidth="1"/>
    <col min="2315" max="2315" width="5.140625" style="348" customWidth="1"/>
    <col min="2316" max="2316" width="9.140625" style="348" customWidth="1"/>
    <col min="2317" max="2317" width="6.140625" style="348" customWidth="1"/>
    <col min="2318" max="2319" width="7.5703125" style="348" customWidth="1"/>
    <col min="2320" max="2320" width="6.7109375" style="348" customWidth="1"/>
    <col min="2321" max="2321" width="5.28515625" style="348" customWidth="1"/>
    <col min="2322" max="2322" width="5.85546875" style="348" customWidth="1"/>
    <col min="2323" max="2323" width="6.140625" style="348" customWidth="1"/>
    <col min="2324" max="2324" width="5.42578125" style="348" customWidth="1"/>
    <col min="2325" max="2325" width="5.28515625" style="348" customWidth="1"/>
    <col min="2326" max="2326" width="6.5703125" style="348" customWidth="1"/>
    <col min="2327" max="2327" width="5.7109375" style="348" customWidth="1"/>
    <col min="2328" max="2328" width="5.42578125" style="348" customWidth="1"/>
    <col min="2329" max="2560" width="9.140625" style="348"/>
    <col min="2561" max="2561" width="2.5703125" style="348" customWidth="1"/>
    <col min="2562" max="2562" width="13.85546875" style="348" customWidth="1"/>
    <col min="2563" max="2563" width="9.42578125" style="348" customWidth="1"/>
    <col min="2564" max="2564" width="7.28515625" style="348" customWidth="1"/>
    <col min="2565" max="2565" width="6.85546875" style="348" customWidth="1"/>
    <col min="2566" max="2566" width="7.85546875" style="348" customWidth="1"/>
    <col min="2567" max="2567" width="6.7109375" style="348" customWidth="1"/>
    <col min="2568" max="2568" width="6.28515625" style="348" customWidth="1"/>
    <col min="2569" max="2569" width="8.5703125" style="348" customWidth="1"/>
    <col min="2570" max="2570" width="8.7109375" style="348" customWidth="1"/>
    <col min="2571" max="2571" width="5.140625" style="348" customWidth="1"/>
    <col min="2572" max="2572" width="9.140625" style="348" customWidth="1"/>
    <col min="2573" max="2573" width="6.140625" style="348" customWidth="1"/>
    <col min="2574" max="2575" width="7.5703125" style="348" customWidth="1"/>
    <col min="2576" max="2576" width="6.7109375" style="348" customWidth="1"/>
    <col min="2577" max="2577" width="5.28515625" style="348" customWidth="1"/>
    <col min="2578" max="2578" width="5.85546875" style="348" customWidth="1"/>
    <col min="2579" max="2579" width="6.140625" style="348" customWidth="1"/>
    <col min="2580" max="2580" width="5.42578125" style="348" customWidth="1"/>
    <col min="2581" max="2581" width="5.28515625" style="348" customWidth="1"/>
    <col min="2582" max="2582" width="6.5703125" style="348" customWidth="1"/>
    <col min="2583" max="2583" width="5.7109375" style="348" customWidth="1"/>
    <col min="2584" max="2584" width="5.42578125" style="348" customWidth="1"/>
    <col min="2585" max="2816" width="9.140625" style="348"/>
    <col min="2817" max="2817" width="2.5703125" style="348" customWidth="1"/>
    <col min="2818" max="2818" width="13.85546875" style="348" customWidth="1"/>
    <col min="2819" max="2819" width="9.42578125" style="348" customWidth="1"/>
    <col min="2820" max="2820" width="7.28515625" style="348" customWidth="1"/>
    <col min="2821" max="2821" width="6.85546875" style="348" customWidth="1"/>
    <col min="2822" max="2822" width="7.85546875" style="348" customWidth="1"/>
    <col min="2823" max="2823" width="6.7109375" style="348" customWidth="1"/>
    <col min="2824" max="2824" width="6.28515625" style="348" customWidth="1"/>
    <col min="2825" max="2825" width="8.5703125" style="348" customWidth="1"/>
    <col min="2826" max="2826" width="8.7109375" style="348" customWidth="1"/>
    <col min="2827" max="2827" width="5.140625" style="348" customWidth="1"/>
    <col min="2828" max="2828" width="9.140625" style="348" customWidth="1"/>
    <col min="2829" max="2829" width="6.140625" style="348" customWidth="1"/>
    <col min="2830" max="2831" width="7.5703125" style="348" customWidth="1"/>
    <col min="2832" max="2832" width="6.7109375" style="348" customWidth="1"/>
    <col min="2833" max="2833" width="5.28515625" style="348" customWidth="1"/>
    <col min="2834" max="2834" width="5.85546875" style="348" customWidth="1"/>
    <col min="2835" max="2835" width="6.140625" style="348" customWidth="1"/>
    <col min="2836" max="2836" width="5.42578125" style="348" customWidth="1"/>
    <col min="2837" max="2837" width="5.28515625" style="348" customWidth="1"/>
    <col min="2838" max="2838" width="6.5703125" style="348" customWidth="1"/>
    <col min="2839" max="2839" width="5.7109375" style="348" customWidth="1"/>
    <col min="2840" max="2840" width="5.42578125" style="348" customWidth="1"/>
    <col min="2841" max="3072" width="9.140625" style="348"/>
    <col min="3073" max="3073" width="2.5703125" style="348" customWidth="1"/>
    <col min="3074" max="3074" width="13.85546875" style="348" customWidth="1"/>
    <col min="3075" max="3075" width="9.42578125" style="348" customWidth="1"/>
    <col min="3076" max="3076" width="7.28515625" style="348" customWidth="1"/>
    <col min="3077" max="3077" width="6.85546875" style="348" customWidth="1"/>
    <col min="3078" max="3078" width="7.85546875" style="348" customWidth="1"/>
    <col min="3079" max="3079" width="6.7109375" style="348" customWidth="1"/>
    <col min="3080" max="3080" width="6.28515625" style="348" customWidth="1"/>
    <col min="3081" max="3081" width="8.5703125" style="348" customWidth="1"/>
    <col min="3082" max="3082" width="8.7109375" style="348" customWidth="1"/>
    <col min="3083" max="3083" width="5.140625" style="348" customWidth="1"/>
    <col min="3084" max="3084" width="9.140625" style="348" customWidth="1"/>
    <col min="3085" max="3085" width="6.140625" style="348" customWidth="1"/>
    <col min="3086" max="3087" width="7.5703125" style="348" customWidth="1"/>
    <col min="3088" max="3088" width="6.7109375" style="348" customWidth="1"/>
    <col min="3089" max="3089" width="5.28515625" style="348" customWidth="1"/>
    <col min="3090" max="3090" width="5.85546875" style="348" customWidth="1"/>
    <col min="3091" max="3091" width="6.140625" style="348" customWidth="1"/>
    <col min="3092" max="3092" width="5.42578125" style="348" customWidth="1"/>
    <col min="3093" max="3093" width="5.28515625" style="348" customWidth="1"/>
    <col min="3094" max="3094" width="6.5703125" style="348" customWidth="1"/>
    <col min="3095" max="3095" width="5.7109375" style="348" customWidth="1"/>
    <col min="3096" max="3096" width="5.42578125" style="348" customWidth="1"/>
    <col min="3097" max="3328" width="9.140625" style="348"/>
    <col min="3329" max="3329" width="2.5703125" style="348" customWidth="1"/>
    <col min="3330" max="3330" width="13.85546875" style="348" customWidth="1"/>
    <col min="3331" max="3331" width="9.42578125" style="348" customWidth="1"/>
    <col min="3332" max="3332" width="7.28515625" style="348" customWidth="1"/>
    <col min="3333" max="3333" width="6.85546875" style="348" customWidth="1"/>
    <col min="3334" max="3334" width="7.85546875" style="348" customWidth="1"/>
    <col min="3335" max="3335" width="6.7109375" style="348" customWidth="1"/>
    <col min="3336" max="3336" width="6.28515625" style="348" customWidth="1"/>
    <col min="3337" max="3337" width="8.5703125" style="348" customWidth="1"/>
    <col min="3338" max="3338" width="8.7109375" style="348" customWidth="1"/>
    <col min="3339" max="3339" width="5.140625" style="348" customWidth="1"/>
    <col min="3340" max="3340" width="9.140625" style="348" customWidth="1"/>
    <col min="3341" max="3341" width="6.140625" style="348" customWidth="1"/>
    <col min="3342" max="3343" width="7.5703125" style="348" customWidth="1"/>
    <col min="3344" max="3344" width="6.7109375" style="348" customWidth="1"/>
    <col min="3345" max="3345" width="5.28515625" style="348" customWidth="1"/>
    <col min="3346" max="3346" width="5.85546875" style="348" customWidth="1"/>
    <col min="3347" max="3347" width="6.140625" style="348" customWidth="1"/>
    <col min="3348" max="3348" width="5.42578125" style="348" customWidth="1"/>
    <col min="3349" max="3349" width="5.28515625" style="348" customWidth="1"/>
    <col min="3350" max="3350" width="6.5703125" style="348" customWidth="1"/>
    <col min="3351" max="3351" width="5.7109375" style="348" customWidth="1"/>
    <col min="3352" max="3352" width="5.42578125" style="348" customWidth="1"/>
    <col min="3353" max="3584" width="9.140625" style="348"/>
    <col min="3585" max="3585" width="2.5703125" style="348" customWidth="1"/>
    <col min="3586" max="3586" width="13.85546875" style="348" customWidth="1"/>
    <col min="3587" max="3587" width="9.42578125" style="348" customWidth="1"/>
    <col min="3588" max="3588" width="7.28515625" style="348" customWidth="1"/>
    <col min="3589" max="3589" width="6.85546875" style="348" customWidth="1"/>
    <col min="3590" max="3590" width="7.85546875" style="348" customWidth="1"/>
    <col min="3591" max="3591" width="6.7109375" style="348" customWidth="1"/>
    <col min="3592" max="3592" width="6.28515625" style="348" customWidth="1"/>
    <col min="3593" max="3593" width="8.5703125" style="348" customWidth="1"/>
    <col min="3594" max="3594" width="8.7109375" style="348" customWidth="1"/>
    <col min="3595" max="3595" width="5.140625" style="348" customWidth="1"/>
    <col min="3596" max="3596" width="9.140625" style="348" customWidth="1"/>
    <col min="3597" max="3597" width="6.140625" style="348" customWidth="1"/>
    <col min="3598" max="3599" width="7.5703125" style="348" customWidth="1"/>
    <col min="3600" max="3600" width="6.7109375" style="348" customWidth="1"/>
    <col min="3601" max="3601" width="5.28515625" style="348" customWidth="1"/>
    <col min="3602" max="3602" width="5.85546875" style="348" customWidth="1"/>
    <col min="3603" max="3603" width="6.140625" style="348" customWidth="1"/>
    <col min="3604" max="3604" width="5.42578125" style="348" customWidth="1"/>
    <col min="3605" max="3605" width="5.28515625" style="348" customWidth="1"/>
    <col min="3606" max="3606" width="6.5703125" style="348" customWidth="1"/>
    <col min="3607" max="3607" width="5.7109375" style="348" customWidth="1"/>
    <col min="3608" max="3608" width="5.42578125" style="348" customWidth="1"/>
    <col min="3609" max="3840" width="9.140625" style="348"/>
    <col min="3841" max="3841" width="2.5703125" style="348" customWidth="1"/>
    <col min="3842" max="3842" width="13.85546875" style="348" customWidth="1"/>
    <col min="3843" max="3843" width="9.42578125" style="348" customWidth="1"/>
    <col min="3844" max="3844" width="7.28515625" style="348" customWidth="1"/>
    <col min="3845" max="3845" width="6.85546875" style="348" customWidth="1"/>
    <col min="3846" max="3846" width="7.85546875" style="348" customWidth="1"/>
    <col min="3847" max="3847" width="6.7109375" style="348" customWidth="1"/>
    <col min="3848" max="3848" width="6.28515625" style="348" customWidth="1"/>
    <col min="3849" max="3849" width="8.5703125" style="348" customWidth="1"/>
    <col min="3850" max="3850" width="8.7109375" style="348" customWidth="1"/>
    <col min="3851" max="3851" width="5.140625" style="348" customWidth="1"/>
    <col min="3852" max="3852" width="9.140625" style="348" customWidth="1"/>
    <col min="3853" max="3853" width="6.140625" style="348" customWidth="1"/>
    <col min="3854" max="3855" width="7.5703125" style="348" customWidth="1"/>
    <col min="3856" max="3856" width="6.7109375" style="348" customWidth="1"/>
    <col min="3857" max="3857" width="5.28515625" style="348" customWidth="1"/>
    <col min="3858" max="3858" width="5.85546875" style="348" customWidth="1"/>
    <col min="3859" max="3859" width="6.140625" style="348" customWidth="1"/>
    <col min="3860" max="3860" width="5.42578125" style="348" customWidth="1"/>
    <col min="3861" max="3861" width="5.28515625" style="348" customWidth="1"/>
    <col min="3862" max="3862" width="6.5703125" style="348" customWidth="1"/>
    <col min="3863" max="3863" width="5.7109375" style="348" customWidth="1"/>
    <col min="3864" max="3864" width="5.42578125" style="348" customWidth="1"/>
    <col min="3865" max="4096" width="9.140625" style="348"/>
    <col min="4097" max="4097" width="2.5703125" style="348" customWidth="1"/>
    <col min="4098" max="4098" width="13.85546875" style="348" customWidth="1"/>
    <col min="4099" max="4099" width="9.42578125" style="348" customWidth="1"/>
    <col min="4100" max="4100" width="7.28515625" style="348" customWidth="1"/>
    <col min="4101" max="4101" width="6.85546875" style="348" customWidth="1"/>
    <col min="4102" max="4102" width="7.85546875" style="348" customWidth="1"/>
    <col min="4103" max="4103" width="6.7109375" style="348" customWidth="1"/>
    <col min="4104" max="4104" width="6.28515625" style="348" customWidth="1"/>
    <col min="4105" max="4105" width="8.5703125" style="348" customWidth="1"/>
    <col min="4106" max="4106" width="8.7109375" style="348" customWidth="1"/>
    <col min="4107" max="4107" width="5.140625" style="348" customWidth="1"/>
    <col min="4108" max="4108" width="9.140625" style="348" customWidth="1"/>
    <col min="4109" max="4109" width="6.140625" style="348" customWidth="1"/>
    <col min="4110" max="4111" width="7.5703125" style="348" customWidth="1"/>
    <col min="4112" max="4112" width="6.7109375" style="348" customWidth="1"/>
    <col min="4113" max="4113" width="5.28515625" style="348" customWidth="1"/>
    <col min="4114" max="4114" width="5.85546875" style="348" customWidth="1"/>
    <col min="4115" max="4115" width="6.140625" style="348" customWidth="1"/>
    <col min="4116" max="4116" width="5.42578125" style="348" customWidth="1"/>
    <col min="4117" max="4117" width="5.28515625" style="348" customWidth="1"/>
    <col min="4118" max="4118" width="6.5703125" style="348" customWidth="1"/>
    <col min="4119" max="4119" width="5.7109375" style="348" customWidth="1"/>
    <col min="4120" max="4120" width="5.42578125" style="348" customWidth="1"/>
    <col min="4121" max="4352" width="9.140625" style="348"/>
    <col min="4353" max="4353" width="2.5703125" style="348" customWidth="1"/>
    <col min="4354" max="4354" width="13.85546875" style="348" customWidth="1"/>
    <col min="4355" max="4355" width="9.42578125" style="348" customWidth="1"/>
    <col min="4356" max="4356" width="7.28515625" style="348" customWidth="1"/>
    <col min="4357" max="4357" width="6.85546875" style="348" customWidth="1"/>
    <col min="4358" max="4358" width="7.85546875" style="348" customWidth="1"/>
    <col min="4359" max="4359" width="6.7109375" style="348" customWidth="1"/>
    <col min="4360" max="4360" width="6.28515625" style="348" customWidth="1"/>
    <col min="4361" max="4361" width="8.5703125" style="348" customWidth="1"/>
    <col min="4362" max="4362" width="8.7109375" style="348" customWidth="1"/>
    <col min="4363" max="4363" width="5.140625" style="348" customWidth="1"/>
    <col min="4364" max="4364" width="9.140625" style="348" customWidth="1"/>
    <col min="4365" max="4365" width="6.140625" style="348" customWidth="1"/>
    <col min="4366" max="4367" width="7.5703125" style="348" customWidth="1"/>
    <col min="4368" max="4368" width="6.7109375" style="348" customWidth="1"/>
    <col min="4369" max="4369" width="5.28515625" style="348" customWidth="1"/>
    <col min="4370" max="4370" width="5.85546875" style="348" customWidth="1"/>
    <col min="4371" max="4371" width="6.140625" style="348" customWidth="1"/>
    <col min="4372" max="4372" width="5.42578125" style="348" customWidth="1"/>
    <col min="4373" max="4373" width="5.28515625" style="348" customWidth="1"/>
    <col min="4374" max="4374" width="6.5703125" style="348" customWidth="1"/>
    <col min="4375" max="4375" width="5.7109375" style="348" customWidth="1"/>
    <col min="4376" max="4376" width="5.42578125" style="348" customWidth="1"/>
    <col min="4377" max="4608" width="9.140625" style="348"/>
    <col min="4609" max="4609" width="2.5703125" style="348" customWidth="1"/>
    <col min="4610" max="4610" width="13.85546875" style="348" customWidth="1"/>
    <col min="4611" max="4611" width="9.42578125" style="348" customWidth="1"/>
    <col min="4612" max="4612" width="7.28515625" style="348" customWidth="1"/>
    <col min="4613" max="4613" width="6.85546875" style="348" customWidth="1"/>
    <col min="4614" max="4614" width="7.85546875" style="348" customWidth="1"/>
    <col min="4615" max="4615" width="6.7109375" style="348" customWidth="1"/>
    <col min="4616" max="4616" width="6.28515625" style="348" customWidth="1"/>
    <col min="4617" max="4617" width="8.5703125" style="348" customWidth="1"/>
    <col min="4618" max="4618" width="8.7109375" style="348" customWidth="1"/>
    <col min="4619" max="4619" width="5.140625" style="348" customWidth="1"/>
    <col min="4620" max="4620" width="9.140625" style="348" customWidth="1"/>
    <col min="4621" max="4621" width="6.140625" style="348" customWidth="1"/>
    <col min="4622" max="4623" width="7.5703125" style="348" customWidth="1"/>
    <col min="4624" max="4624" width="6.7109375" style="348" customWidth="1"/>
    <col min="4625" max="4625" width="5.28515625" style="348" customWidth="1"/>
    <col min="4626" max="4626" width="5.85546875" style="348" customWidth="1"/>
    <col min="4627" max="4627" width="6.140625" style="348" customWidth="1"/>
    <col min="4628" max="4628" width="5.42578125" style="348" customWidth="1"/>
    <col min="4629" max="4629" width="5.28515625" style="348" customWidth="1"/>
    <col min="4630" max="4630" width="6.5703125" style="348" customWidth="1"/>
    <col min="4631" max="4631" width="5.7109375" style="348" customWidth="1"/>
    <col min="4632" max="4632" width="5.42578125" style="348" customWidth="1"/>
    <col min="4633" max="4864" width="9.140625" style="348"/>
    <col min="4865" max="4865" width="2.5703125" style="348" customWidth="1"/>
    <col min="4866" max="4866" width="13.85546875" style="348" customWidth="1"/>
    <col min="4867" max="4867" width="9.42578125" style="348" customWidth="1"/>
    <col min="4868" max="4868" width="7.28515625" style="348" customWidth="1"/>
    <col min="4869" max="4869" width="6.85546875" style="348" customWidth="1"/>
    <col min="4870" max="4870" width="7.85546875" style="348" customWidth="1"/>
    <col min="4871" max="4871" width="6.7109375" style="348" customWidth="1"/>
    <col min="4872" max="4872" width="6.28515625" style="348" customWidth="1"/>
    <col min="4873" max="4873" width="8.5703125" style="348" customWidth="1"/>
    <col min="4874" max="4874" width="8.7109375" style="348" customWidth="1"/>
    <col min="4875" max="4875" width="5.140625" style="348" customWidth="1"/>
    <col min="4876" max="4876" width="9.140625" style="348" customWidth="1"/>
    <col min="4877" max="4877" width="6.140625" style="348" customWidth="1"/>
    <col min="4878" max="4879" width="7.5703125" style="348" customWidth="1"/>
    <col min="4880" max="4880" width="6.7109375" style="348" customWidth="1"/>
    <col min="4881" max="4881" width="5.28515625" style="348" customWidth="1"/>
    <col min="4882" max="4882" width="5.85546875" style="348" customWidth="1"/>
    <col min="4883" max="4883" width="6.140625" style="348" customWidth="1"/>
    <col min="4884" max="4884" width="5.42578125" style="348" customWidth="1"/>
    <col min="4885" max="4885" width="5.28515625" style="348" customWidth="1"/>
    <col min="4886" max="4886" width="6.5703125" style="348" customWidth="1"/>
    <col min="4887" max="4887" width="5.7109375" style="348" customWidth="1"/>
    <col min="4888" max="4888" width="5.42578125" style="348" customWidth="1"/>
    <col min="4889" max="5120" width="9.140625" style="348"/>
    <col min="5121" max="5121" width="2.5703125" style="348" customWidth="1"/>
    <col min="5122" max="5122" width="13.85546875" style="348" customWidth="1"/>
    <col min="5123" max="5123" width="9.42578125" style="348" customWidth="1"/>
    <col min="5124" max="5124" width="7.28515625" style="348" customWidth="1"/>
    <col min="5125" max="5125" width="6.85546875" style="348" customWidth="1"/>
    <col min="5126" max="5126" width="7.85546875" style="348" customWidth="1"/>
    <col min="5127" max="5127" width="6.7109375" style="348" customWidth="1"/>
    <col min="5128" max="5128" width="6.28515625" style="348" customWidth="1"/>
    <col min="5129" max="5129" width="8.5703125" style="348" customWidth="1"/>
    <col min="5130" max="5130" width="8.7109375" style="348" customWidth="1"/>
    <col min="5131" max="5131" width="5.140625" style="348" customWidth="1"/>
    <col min="5132" max="5132" width="9.140625" style="348" customWidth="1"/>
    <col min="5133" max="5133" width="6.140625" style="348" customWidth="1"/>
    <col min="5134" max="5135" width="7.5703125" style="348" customWidth="1"/>
    <col min="5136" max="5136" width="6.7109375" style="348" customWidth="1"/>
    <col min="5137" max="5137" width="5.28515625" style="348" customWidth="1"/>
    <col min="5138" max="5138" width="5.85546875" style="348" customWidth="1"/>
    <col min="5139" max="5139" width="6.140625" style="348" customWidth="1"/>
    <col min="5140" max="5140" width="5.42578125" style="348" customWidth="1"/>
    <col min="5141" max="5141" width="5.28515625" style="348" customWidth="1"/>
    <col min="5142" max="5142" width="6.5703125" style="348" customWidth="1"/>
    <col min="5143" max="5143" width="5.7109375" style="348" customWidth="1"/>
    <col min="5144" max="5144" width="5.42578125" style="348" customWidth="1"/>
    <col min="5145" max="5376" width="9.140625" style="348"/>
    <col min="5377" max="5377" width="2.5703125" style="348" customWidth="1"/>
    <col min="5378" max="5378" width="13.85546875" style="348" customWidth="1"/>
    <col min="5379" max="5379" width="9.42578125" style="348" customWidth="1"/>
    <col min="5380" max="5380" width="7.28515625" style="348" customWidth="1"/>
    <col min="5381" max="5381" width="6.85546875" style="348" customWidth="1"/>
    <col min="5382" max="5382" width="7.85546875" style="348" customWidth="1"/>
    <col min="5383" max="5383" width="6.7109375" style="348" customWidth="1"/>
    <col min="5384" max="5384" width="6.28515625" style="348" customWidth="1"/>
    <col min="5385" max="5385" width="8.5703125" style="348" customWidth="1"/>
    <col min="5386" max="5386" width="8.7109375" style="348" customWidth="1"/>
    <col min="5387" max="5387" width="5.140625" style="348" customWidth="1"/>
    <col min="5388" max="5388" width="9.140625" style="348" customWidth="1"/>
    <col min="5389" max="5389" width="6.140625" style="348" customWidth="1"/>
    <col min="5390" max="5391" width="7.5703125" style="348" customWidth="1"/>
    <col min="5392" max="5392" width="6.7109375" style="348" customWidth="1"/>
    <col min="5393" max="5393" width="5.28515625" style="348" customWidth="1"/>
    <col min="5394" max="5394" width="5.85546875" style="348" customWidth="1"/>
    <col min="5395" max="5395" width="6.140625" style="348" customWidth="1"/>
    <col min="5396" max="5396" width="5.42578125" style="348" customWidth="1"/>
    <col min="5397" max="5397" width="5.28515625" style="348" customWidth="1"/>
    <col min="5398" max="5398" width="6.5703125" style="348" customWidth="1"/>
    <col min="5399" max="5399" width="5.7109375" style="348" customWidth="1"/>
    <col min="5400" max="5400" width="5.42578125" style="348" customWidth="1"/>
    <col min="5401" max="5632" width="9.140625" style="348"/>
    <col min="5633" max="5633" width="2.5703125" style="348" customWidth="1"/>
    <col min="5634" max="5634" width="13.85546875" style="348" customWidth="1"/>
    <col min="5635" max="5635" width="9.42578125" style="348" customWidth="1"/>
    <col min="5636" max="5636" width="7.28515625" style="348" customWidth="1"/>
    <col min="5637" max="5637" width="6.85546875" style="348" customWidth="1"/>
    <col min="5638" max="5638" width="7.85546875" style="348" customWidth="1"/>
    <col min="5639" max="5639" width="6.7109375" style="348" customWidth="1"/>
    <col min="5640" max="5640" width="6.28515625" style="348" customWidth="1"/>
    <col min="5641" max="5641" width="8.5703125" style="348" customWidth="1"/>
    <col min="5642" max="5642" width="8.7109375" style="348" customWidth="1"/>
    <col min="5643" max="5643" width="5.140625" style="348" customWidth="1"/>
    <col min="5644" max="5644" width="9.140625" style="348" customWidth="1"/>
    <col min="5645" max="5645" width="6.140625" style="348" customWidth="1"/>
    <col min="5646" max="5647" width="7.5703125" style="348" customWidth="1"/>
    <col min="5648" max="5648" width="6.7109375" style="348" customWidth="1"/>
    <col min="5649" max="5649" width="5.28515625" style="348" customWidth="1"/>
    <col min="5650" max="5650" width="5.85546875" style="348" customWidth="1"/>
    <col min="5651" max="5651" width="6.140625" style="348" customWidth="1"/>
    <col min="5652" max="5652" width="5.42578125" style="348" customWidth="1"/>
    <col min="5653" max="5653" width="5.28515625" style="348" customWidth="1"/>
    <col min="5654" max="5654" width="6.5703125" style="348" customWidth="1"/>
    <col min="5655" max="5655" width="5.7109375" style="348" customWidth="1"/>
    <col min="5656" max="5656" width="5.42578125" style="348" customWidth="1"/>
    <col min="5657" max="5888" width="9.140625" style="348"/>
    <col min="5889" max="5889" width="2.5703125" style="348" customWidth="1"/>
    <col min="5890" max="5890" width="13.85546875" style="348" customWidth="1"/>
    <col min="5891" max="5891" width="9.42578125" style="348" customWidth="1"/>
    <col min="5892" max="5892" width="7.28515625" style="348" customWidth="1"/>
    <col min="5893" max="5893" width="6.85546875" style="348" customWidth="1"/>
    <col min="5894" max="5894" width="7.85546875" style="348" customWidth="1"/>
    <col min="5895" max="5895" width="6.7109375" style="348" customWidth="1"/>
    <col min="5896" max="5896" width="6.28515625" style="348" customWidth="1"/>
    <col min="5897" max="5897" width="8.5703125" style="348" customWidth="1"/>
    <col min="5898" max="5898" width="8.7109375" style="348" customWidth="1"/>
    <col min="5899" max="5899" width="5.140625" style="348" customWidth="1"/>
    <col min="5900" max="5900" width="9.140625" style="348" customWidth="1"/>
    <col min="5901" max="5901" width="6.140625" style="348" customWidth="1"/>
    <col min="5902" max="5903" width="7.5703125" style="348" customWidth="1"/>
    <col min="5904" max="5904" width="6.7109375" style="348" customWidth="1"/>
    <col min="5905" max="5905" width="5.28515625" style="348" customWidth="1"/>
    <col min="5906" max="5906" width="5.85546875" style="348" customWidth="1"/>
    <col min="5907" max="5907" width="6.140625" style="348" customWidth="1"/>
    <col min="5908" max="5908" width="5.42578125" style="348" customWidth="1"/>
    <col min="5909" max="5909" width="5.28515625" style="348" customWidth="1"/>
    <col min="5910" max="5910" width="6.5703125" style="348" customWidth="1"/>
    <col min="5911" max="5911" width="5.7109375" style="348" customWidth="1"/>
    <col min="5912" max="5912" width="5.42578125" style="348" customWidth="1"/>
    <col min="5913" max="6144" width="9.140625" style="348"/>
    <col min="6145" max="6145" width="2.5703125" style="348" customWidth="1"/>
    <col min="6146" max="6146" width="13.85546875" style="348" customWidth="1"/>
    <col min="6147" max="6147" width="9.42578125" style="348" customWidth="1"/>
    <col min="6148" max="6148" width="7.28515625" style="348" customWidth="1"/>
    <col min="6149" max="6149" width="6.85546875" style="348" customWidth="1"/>
    <col min="6150" max="6150" width="7.85546875" style="348" customWidth="1"/>
    <col min="6151" max="6151" width="6.7109375" style="348" customWidth="1"/>
    <col min="6152" max="6152" width="6.28515625" style="348" customWidth="1"/>
    <col min="6153" max="6153" width="8.5703125" style="348" customWidth="1"/>
    <col min="6154" max="6154" width="8.7109375" style="348" customWidth="1"/>
    <col min="6155" max="6155" width="5.140625" style="348" customWidth="1"/>
    <col min="6156" max="6156" width="9.140625" style="348" customWidth="1"/>
    <col min="6157" max="6157" width="6.140625" style="348" customWidth="1"/>
    <col min="6158" max="6159" width="7.5703125" style="348" customWidth="1"/>
    <col min="6160" max="6160" width="6.7109375" style="348" customWidth="1"/>
    <col min="6161" max="6161" width="5.28515625" style="348" customWidth="1"/>
    <col min="6162" max="6162" width="5.85546875" style="348" customWidth="1"/>
    <col min="6163" max="6163" width="6.140625" style="348" customWidth="1"/>
    <col min="6164" max="6164" width="5.42578125" style="348" customWidth="1"/>
    <col min="6165" max="6165" width="5.28515625" style="348" customWidth="1"/>
    <col min="6166" max="6166" width="6.5703125" style="348" customWidth="1"/>
    <col min="6167" max="6167" width="5.7109375" style="348" customWidth="1"/>
    <col min="6168" max="6168" width="5.42578125" style="348" customWidth="1"/>
    <col min="6169" max="6400" width="9.140625" style="348"/>
    <col min="6401" max="6401" width="2.5703125" style="348" customWidth="1"/>
    <col min="6402" max="6402" width="13.85546875" style="348" customWidth="1"/>
    <col min="6403" max="6403" width="9.42578125" style="348" customWidth="1"/>
    <col min="6404" max="6404" width="7.28515625" style="348" customWidth="1"/>
    <col min="6405" max="6405" width="6.85546875" style="348" customWidth="1"/>
    <col min="6406" max="6406" width="7.85546875" style="348" customWidth="1"/>
    <col min="6407" max="6407" width="6.7109375" style="348" customWidth="1"/>
    <col min="6408" max="6408" width="6.28515625" style="348" customWidth="1"/>
    <col min="6409" max="6409" width="8.5703125" style="348" customWidth="1"/>
    <col min="6410" max="6410" width="8.7109375" style="348" customWidth="1"/>
    <col min="6411" max="6411" width="5.140625" style="348" customWidth="1"/>
    <col min="6412" max="6412" width="9.140625" style="348" customWidth="1"/>
    <col min="6413" max="6413" width="6.140625" style="348" customWidth="1"/>
    <col min="6414" max="6415" width="7.5703125" style="348" customWidth="1"/>
    <col min="6416" max="6416" width="6.7109375" style="348" customWidth="1"/>
    <col min="6417" max="6417" width="5.28515625" style="348" customWidth="1"/>
    <col min="6418" max="6418" width="5.85546875" style="348" customWidth="1"/>
    <col min="6419" max="6419" width="6.140625" style="348" customWidth="1"/>
    <col min="6420" max="6420" width="5.42578125" style="348" customWidth="1"/>
    <col min="6421" max="6421" width="5.28515625" style="348" customWidth="1"/>
    <col min="6422" max="6422" width="6.5703125" style="348" customWidth="1"/>
    <col min="6423" max="6423" width="5.7109375" style="348" customWidth="1"/>
    <col min="6424" max="6424" width="5.42578125" style="348" customWidth="1"/>
    <col min="6425" max="6656" width="9.140625" style="348"/>
    <col min="6657" max="6657" width="2.5703125" style="348" customWidth="1"/>
    <col min="6658" max="6658" width="13.85546875" style="348" customWidth="1"/>
    <col min="6659" max="6659" width="9.42578125" style="348" customWidth="1"/>
    <col min="6660" max="6660" width="7.28515625" style="348" customWidth="1"/>
    <col min="6661" max="6661" width="6.85546875" style="348" customWidth="1"/>
    <col min="6662" max="6662" width="7.85546875" style="348" customWidth="1"/>
    <col min="6663" max="6663" width="6.7109375" style="348" customWidth="1"/>
    <col min="6664" max="6664" width="6.28515625" style="348" customWidth="1"/>
    <col min="6665" max="6665" width="8.5703125" style="348" customWidth="1"/>
    <col min="6666" max="6666" width="8.7109375" style="348" customWidth="1"/>
    <col min="6667" max="6667" width="5.140625" style="348" customWidth="1"/>
    <col min="6668" max="6668" width="9.140625" style="348" customWidth="1"/>
    <col min="6669" max="6669" width="6.140625" style="348" customWidth="1"/>
    <col min="6670" max="6671" width="7.5703125" style="348" customWidth="1"/>
    <col min="6672" max="6672" width="6.7109375" style="348" customWidth="1"/>
    <col min="6673" max="6673" width="5.28515625" style="348" customWidth="1"/>
    <col min="6674" max="6674" width="5.85546875" style="348" customWidth="1"/>
    <col min="6675" max="6675" width="6.140625" style="348" customWidth="1"/>
    <col min="6676" max="6676" width="5.42578125" style="348" customWidth="1"/>
    <col min="6677" max="6677" width="5.28515625" style="348" customWidth="1"/>
    <col min="6678" max="6678" width="6.5703125" style="348" customWidth="1"/>
    <col min="6679" max="6679" width="5.7109375" style="348" customWidth="1"/>
    <col min="6680" max="6680" width="5.42578125" style="348" customWidth="1"/>
    <col min="6681" max="6912" width="9.140625" style="348"/>
    <col min="6913" max="6913" width="2.5703125" style="348" customWidth="1"/>
    <col min="6914" max="6914" width="13.85546875" style="348" customWidth="1"/>
    <col min="6915" max="6915" width="9.42578125" style="348" customWidth="1"/>
    <col min="6916" max="6916" width="7.28515625" style="348" customWidth="1"/>
    <col min="6917" max="6917" width="6.85546875" style="348" customWidth="1"/>
    <col min="6918" max="6918" width="7.85546875" style="348" customWidth="1"/>
    <col min="6919" max="6919" width="6.7109375" style="348" customWidth="1"/>
    <col min="6920" max="6920" width="6.28515625" style="348" customWidth="1"/>
    <col min="6921" max="6921" width="8.5703125" style="348" customWidth="1"/>
    <col min="6922" max="6922" width="8.7109375" style="348" customWidth="1"/>
    <col min="6923" max="6923" width="5.140625" style="348" customWidth="1"/>
    <col min="6924" max="6924" width="9.140625" style="348" customWidth="1"/>
    <col min="6925" max="6925" width="6.140625" style="348" customWidth="1"/>
    <col min="6926" max="6927" width="7.5703125" style="348" customWidth="1"/>
    <col min="6928" max="6928" width="6.7109375" style="348" customWidth="1"/>
    <col min="6929" max="6929" width="5.28515625" style="348" customWidth="1"/>
    <col min="6930" max="6930" width="5.85546875" style="348" customWidth="1"/>
    <col min="6931" max="6931" width="6.140625" style="348" customWidth="1"/>
    <col min="6932" max="6932" width="5.42578125" style="348" customWidth="1"/>
    <col min="6933" max="6933" width="5.28515625" style="348" customWidth="1"/>
    <col min="6934" max="6934" width="6.5703125" style="348" customWidth="1"/>
    <col min="6935" max="6935" width="5.7109375" style="348" customWidth="1"/>
    <col min="6936" max="6936" width="5.42578125" style="348" customWidth="1"/>
    <col min="6937" max="7168" width="9.140625" style="348"/>
    <col min="7169" max="7169" width="2.5703125" style="348" customWidth="1"/>
    <col min="7170" max="7170" width="13.85546875" style="348" customWidth="1"/>
    <col min="7171" max="7171" width="9.42578125" style="348" customWidth="1"/>
    <col min="7172" max="7172" width="7.28515625" style="348" customWidth="1"/>
    <col min="7173" max="7173" width="6.85546875" style="348" customWidth="1"/>
    <col min="7174" max="7174" width="7.85546875" style="348" customWidth="1"/>
    <col min="7175" max="7175" width="6.7109375" style="348" customWidth="1"/>
    <col min="7176" max="7176" width="6.28515625" style="348" customWidth="1"/>
    <col min="7177" max="7177" width="8.5703125" style="348" customWidth="1"/>
    <col min="7178" max="7178" width="8.7109375" style="348" customWidth="1"/>
    <col min="7179" max="7179" width="5.140625" style="348" customWidth="1"/>
    <col min="7180" max="7180" width="9.140625" style="348" customWidth="1"/>
    <col min="7181" max="7181" width="6.140625" style="348" customWidth="1"/>
    <col min="7182" max="7183" width="7.5703125" style="348" customWidth="1"/>
    <col min="7184" max="7184" width="6.7109375" style="348" customWidth="1"/>
    <col min="7185" max="7185" width="5.28515625" style="348" customWidth="1"/>
    <col min="7186" max="7186" width="5.85546875" style="348" customWidth="1"/>
    <col min="7187" max="7187" width="6.140625" style="348" customWidth="1"/>
    <col min="7188" max="7188" width="5.42578125" style="348" customWidth="1"/>
    <col min="7189" max="7189" width="5.28515625" style="348" customWidth="1"/>
    <col min="7190" max="7190" width="6.5703125" style="348" customWidth="1"/>
    <col min="7191" max="7191" width="5.7109375" style="348" customWidth="1"/>
    <col min="7192" max="7192" width="5.42578125" style="348" customWidth="1"/>
    <col min="7193" max="7424" width="9.140625" style="348"/>
    <col min="7425" max="7425" width="2.5703125" style="348" customWidth="1"/>
    <col min="7426" max="7426" width="13.85546875" style="348" customWidth="1"/>
    <col min="7427" max="7427" width="9.42578125" style="348" customWidth="1"/>
    <col min="7428" max="7428" width="7.28515625" style="348" customWidth="1"/>
    <col min="7429" max="7429" width="6.85546875" style="348" customWidth="1"/>
    <col min="7430" max="7430" width="7.85546875" style="348" customWidth="1"/>
    <col min="7431" max="7431" width="6.7109375" style="348" customWidth="1"/>
    <col min="7432" max="7432" width="6.28515625" style="348" customWidth="1"/>
    <col min="7433" max="7433" width="8.5703125" style="348" customWidth="1"/>
    <col min="7434" max="7434" width="8.7109375" style="348" customWidth="1"/>
    <col min="7435" max="7435" width="5.140625" style="348" customWidth="1"/>
    <col min="7436" max="7436" width="9.140625" style="348" customWidth="1"/>
    <col min="7437" max="7437" width="6.140625" style="348" customWidth="1"/>
    <col min="7438" max="7439" width="7.5703125" style="348" customWidth="1"/>
    <col min="7440" max="7440" width="6.7109375" style="348" customWidth="1"/>
    <col min="7441" max="7441" width="5.28515625" style="348" customWidth="1"/>
    <col min="7442" max="7442" width="5.85546875" style="348" customWidth="1"/>
    <col min="7443" max="7443" width="6.140625" style="348" customWidth="1"/>
    <col min="7444" max="7444" width="5.42578125" style="348" customWidth="1"/>
    <col min="7445" max="7445" width="5.28515625" style="348" customWidth="1"/>
    <col min="7446" max="7446" width="6.5703125" style="348" customWidth="1"/>
    <col min="7447" max="7447" width="5.7109375" style="348" customWidth="1"/>
    <col min="7448" max="7448" width="5.42578125" style="348" customWidth="1"/>
    <col min="7449" max="7680" width="9.140625" style="348"/>
    <col min="7681" max="7681" width="2.5703125" style="348" customWidth="1"/>
    <col min="7682" max="7682" width="13.85546875" style="348" customWidth="1"/>
    <col min="7683" max="7683" width="9.42578125" style="348" customWidth="1"/>
    <col min="7684" max="7684" width="7.28515625" style="348" customWidth="1"/>
    <col min="7685" max="7685" width="6.85546875" style="348" customWidth="1"/>
    <col min="7686" max="7686" width="7.85546875" style="348" customWidth="1"/>
    <col min="7687" max="7687" width="6.7109375" style="348" customWidth="1"/>
    <col min="7688" max="7688" width="6.28515625" style="348" customWidth="1"/>
    <col min="7689" max="7689" width="8.5703125" style="348" customWidth="1"/>
    <col min="7690" max="7690" width="8.7109375" style="348" customWidth="1"/>
    <col min="7691" max="7691" width="5.140625" style="348" customWidth="1"/>
    <col min="7692" max="7692" width="9.140625" style="348" customWidth="1"/>
    <col min="7693" max="7693" width="6.140625" style="348" customWidth="1"/>
    <col min="7694" max="7695" width="7.5703125" style="348" customWidth="1"/>
    <col min="7696" max="7696" width="6.7109375" style="348" customWidth="1"/>
    <col min="7697" max="7697" width="5.28515625" style="348" customWidth="1"/>
    <col min="7698" max="7698" width="5.85546875" style="348" customWidth="1"/>
    <col min="7699" max="7699" width="6.140625" style="348" customWidth="1"/>
    <col min="7700" max="7700" width="5.42578125" style="348" customWidth="1"/>
    <col min="7701" max="7701" width="5.28515625" style="348" customWidth="1"/>
    <col min="7702" max="7702" width="6.5703125" style="348" customWidth="1"/>
    <col min="7703" max="7703" width="5.7109375" style="348" customWidth="1"/>
    <col min="7704" max="7704" width="5.42578125" style="348" customWidth="1"/>
    <col min="7705" max="7936" width="9.140625" style="348"/>
    <col min="7937" max="7937" width="2.5703125" style="348" customWidth="1"/>
    <col min="7938" max="7938" width="13.85546875" style="348" customWidth="1"/>
    <col min="7939" max="7939" width="9.42578125" style="348" customWidth="1"/>
    <col min="7940" max="7940" width="7.28515625" style="348" customWidth="1"/>
    <col min="7941" max="7941" width="6.85546875" style="348" customWidth="1"/>
    <col min="7942" max="7942" width="7.85546875" style="348" customWidth="1"/>
    <col min="7943" max="7943" width="6.7109375" style="348" customWidth="1"/>
    <col min="7944" max="7944" width="6.28515625" style="348" customWidth="1"/>
    <col min="7945" max="7945" width="8.5703125" style="348" customWidth="1"/>
    <col min="7946" max="7946" width="8.7109375" style="348" customWidth="1"/>
    <col min="7947" max="7947" width="5.140625" style="348" customWidth="1"/>
    <col min="7948" max="7948" width="9.140625" style="348" customWidth="1"/>
    <col min="7949" max="7949" width="6.140625" style="348" customWidth="1"/>
    <col min="7950" max="7951" width="7.5703125" style="348" customWidth="1"/>
    <col min="7952" max="7952" width="6.7109375" style="348" customWidth="1"/>
    <col min="7953" max="7953" width="5.28515625" style="348" customWidth="1"/>
    <col min="7954" max="7954" width="5.85546875" style="348" customWidth="1"/>
    <col min="7955" max="7955" width="6.140625" style="348" customWidth="1"/>
    <col min="7956" max="7956" width="5.42578125" style="348" customWidth="1"/>
    <col min="7957" max="7957" width="5.28515625" style="348" customWidth="1"/>
    <col min="7958" max="7958" width="6.5703125" style="348" customWidth="1"/>
    <col min="7959" max="7959" width="5.7109375" style="348" customWidth="1"/>
    <col min="7960" max="7960" width="5.42578125" style="348" customWidth="1"/>
    <col min="7961" max="8192" width="9.140625" style="348"/>
    <col min="8193" max="8193" width="2.5703125" style="348" customWidth="1"/>
    <col min="8194" max="8194" width="13.85546875" style="348" customWidth="1"/>
    <col min="8195" max="8195" width="9.42578125" style="348" customWidth="1"/>
    <col min="8196" max="8196" width="7.28515625" style="348" customWidth="1"/>
    <col min="8197" max="8197" width="6.85546875" style="348" customWidth="1"/>
    <col min="8198" max="8198" width="7.85546875" style="348" customWidth="1"/>
    <col min="8199" max="8199" width="6.7109375" style="348" customWidth="1"/>
    <col min="8200" max="8200" width="6.28515625" style="348" customWidth="1"/>
    <col min="8201" max="8201" width="8.5703125" style="348" customWidth="1"/>
    <col min="8202" max="8202" width="8.7109375" style="348" customWidth="1"/>
    <col min="8203" max="8203" width="5.140625" style="348" customWidth="1"/>
    <col min="8204" max="8204" width="9.140625" style="348" customWidth="1"/>
    <col min="8205" max="8205" width="6.140625" style="348" customWidth="1"/>
    <col min="8206" max="8207" width="7.5703125" style="348" customWidth="1"/>
    <col min="8208" max="8208" width="6.7109375" style="348" customWidth="1"/>
    <col min="8209" max="8209" width="5.28515625" style="348" customWidth="1"/>
    <col min="8210" max="8210" width="5.85546875" style="348" customWidth="1"/>
    <col min="8211" max="8211" width="6.140625" style="348" customWidth="1"/>
    <col min="8212" max="8212" width="5.42578125" style="348" customWidth="1"/>
    <col min="8213" max="8213" width="5.28515625" style="348" customWidth="1"/>
    <col min="8214" max="8214" width="6.5703125" style="348" customWidth="1"/>
    <col min="8215" max="8215" width="5.7109375" style="348" customWidth="1"/>
    <col min="8216" max="8216" width="5.42578125" style="348" customWidth="1"/>
    <col min="8217" max="8448" width="9.140625" style="348"/>
    <col min="8449" max="8449" width="2.5703125" style="348" customWidth="1"/>
    <col min="8450" max="8450" width="13.85546875" style="348" customWidth="1"/>
    <col min="8451" max="8451" width="9.42578125" style="348" customWidth="1"/>
    <col min="8452" max="8452" width="7.28515625" style="348" customWidth="1"/>
    <col min="8453" max="8453" width="6.85546875" style="348" customWidth="1"/>
    <col min="8454" max="8454" width="7.85546875" style="348" customWidth="1"/>
    <col min="8455" max="8455" width="6.7109375" style="348" customWidth="1"/>
    <col min="8456" max="8456" width="6.28515625" style="348" customWidth="1"/>
    <col min="8457" max="8457" width="8.5703125" style="348" customWidth="1"/>
    <col min="8458" max="8458" width="8.7109375" style="348" customWidth="1"/>
    <col min="8459" max="8459" width="5.140625" style="348" customWidth="1"/>
    <col min="8460" max="8460" width="9.140625" style="348" customWidth="1"/>
    <col min="8461" max="8461" width="6.140625" style="348" customWidth="1"/>
    <col min="8462" max="8463" width="7.5703125" style="348" customWidth="1"/>
    <col min="8464" max="8464" width="6.7109375" style="348" customWidth="1"/>
    <col min="8465" max="8465" width="5.28515625" style="348" customWidth="1"/>
    <col min="8466" max="8466" width="5.85546875" style="348" customWidth="1"/>
    <col min="8467" max="8467" width="6.140625" style="348" customWidth="1"/>
    <col min="8468" max="8468" width="5.42578125" style="348" customWidth="1"/>
    <col min="8469" max="8469" width="5.28515625" style="348" customWidth="1"/>
    <col min="8470" max="8470" width="6.5703125" style="348" customWidth="1"/>
    <col min="8471" max="8471" width="5.7109375" style="348" customWidth="1"/>
    <col min="8472" max="8472" width="5.42578125" style="348" customWidth="1"/>
    <col min="8473" max="8704" width="9.140625" style="348"/>
    <col min="8705" max="8705" width="2.5703125" style="348" customWidth="1"/>
    <col min="8706" max="8706" width="13.85546875" style="348" customWidth="1"/>
    <col min="8707" max="8707" width="9.42578125" style="348" customWidth="1"/>
    <col min="8708" max="8708" width="7.28515625" style="348" customWidth="1"/>
    <col min="8709" max="8709" width="6.85546875" style="348" customWidth="1"/>
    <col min="8710" max="8710" width="7.85546875" style="348" customWidth="1"/>
    <col min="8711" max="8711" width="6.7109375" style="348" customWidth="1"/>
    <col min="8712" max="8712" width="6.28515625" style="348" customWidth="1"/>
    <col min="8713" max="8713" width="8.5703125" style="348" customWidth="1"/>
    <col min="8714" max="8714" width="8.7109375" style="348" customWidth="1"/>
    <col min="8715" max="8715" width="5.140625" style="348" customWidth="1"/>
    <col min="8716" max="8716" width="9.140625" style="348" customWidth="1"/>
    <col min="8717" max="8717" width="6.140625" style="348" customWidth="1"/>
    <col min="8718" max="8719" width="7.5703125" style="348" customWidth="1"/>
    <col min="8720" max="8720" width="6.7109375" style="348" customWidth="1"/>
    <col min="8721" max="8721" width="5.28515625" style="348" customWidth="1"/>
    <col min="8722" max="8722" width="5.85546875" style="348" customWidth="1"/>
    <col min="8723" max="8723" width="6.140625" style="348" customWidth="1"/>
    <col min="8724" max="8724" width="5.42578125" style="348" customWidth="1"/>
    <col min="8725" max="8725" width="5.28515625" style="348" customWidth="1"/>
    <col min="8726" max="8726" width="6.5703125" style="348" customWidth="1"/>
    <col min="8727" max="8727" width="5.7109375" style="348" customWidth="1"/>
    <col min="8728" max="8728" width="5.42578125" style="348" customWidth="1"/>
    <col min="8729" max="8960" width="9.140625" style="348"/>
    <col min="8961" max="8961" width="2.5703125" style="348" customWidth="1"/>
    <col min="8962" max="8962" width="13.85546875" style="348" customWidth="1"/>
    <col min="8963" max="8963" width="9.42578125" style="348" customWidth="1"/>
    <col min="8964" max="8964" width="7.28515625" style="348" customWidth="1"/>
    <col min="8965" max="8965" width="6.85546875" style="348" customWidth="1"/>
    <col min="8966" max="8966" width="7.85546875" style="348" customWidth="1"/>
    <col min="8967" max="8967" width="6.7109375" style="348" customWidth="1"/>
    <col min="8968" max="8968" width="6.28515625" style="348" customWidth="1"/>
    <col min="8969" max="8969" width="8.5703125" style="348" customWidth="1"/>
    <col min="8970" max="8970" width="8.7109375" style="348" customWidth="1"/>
    <col min="8971" max="8971" width="5.140625" style="348" customWidth="1"/>
    <col min="8972" max="8972" width="9.140625" style="348" customWidth="1"/>
    <col min="8973" max="8973" width="6.140625" style="348" customWidth="1"/>
    <col min="8974" max="8975" width="7.5703125" style="348" customWidth="1"/>
    <col min="8976" max="8976" width="6.7109375" style="348" customWidth="1"/>
    <col min="8977" max="8977" width="5.28515625" style="348" customWidth="1"/>
    <col min="8978" max="8978" width="5.85546875" style="348" customWidth="1"/>
    <col min="8979" max="8979" width="6.140625" style="348" customWidth="1"/>
    <col min="8980" max="8980" width="5.42578125" style="348" customWidth="1"/>
    <col min="8981" max="8981" width="5.28515625" style="348" customWidth="1"/>
    <col min="8982" max="8982" width="6.5703125" style="348" customWidth="1"/>
    <col min="8983" max="8983" width="5.7109375" style="348" customWidth="1"/>
    <col min="8984" max="8984" width="5.42578125" style="348" customWidth="1"/>
    <col min="8985" max="9216" width="9.140625" style="348"/>
    <col min="9217" max="9217" width="2.5703125" style="348" customWidth="1"/>
    <col min="9218" max="9218" width="13.85546875" style="348" customWidth="1"/>
    <col min="9219" max="9219" width="9.42578125" style="348" customWidth="1"/>
    <col min="9220" max="9220" width="7.28515625" style="348" customWidth="1"/>
    <col min="9221" max="9221" width="6.85546875" style="348" customWidth="1"/>
    <col min="9222" max="9222" width="7.85546875" style="348" customWidth="1"/>
    <col min="9223" max="9223" width="6.7109375" style="348" customWidth="1"/>
    <col min="9224" max="9224" width="6.28515625" style="348" customWidth="1"/>
    <col min="9225" max="9225" width="8.5703125" style="348" customWidth="1"/>
    <col min="9226" max="9226" width="8.7109375" style="348" customWidth="1"/>
    <col min="9227" max="9227" width="5.140625" style="348" customWidth="1"/>
    <col min="9228" max="9228" width="9.140625" style="348" customWidth="1"/>
    <col min="9229" max="9229" width="6.140625" style="348" customWidth="1"/>
    <col min="9230" max="9231" width="7.5703125" style="348" customWidth="1"/>
    <col min="9232" max="9232" width="6.7109375" style="348" customWidth="1"/>
    <col min="9233" max="9233" width="5.28515625" style="348" customWidth="1"/>
    <col min="9234" max="9234" width="5.85546875" style="348" customWidth="1"/>
    <col min="9235" max="9235" width="6.140625" style="348" customWidth="1"/>
    <col min="9236" max="9236" width="5.42578125" style="348" customWidth="1"/>
    <col min="9237" max="9237" width="5.28515625" style="348" customWidth="1"/>
    <col min="9238" max="9238" width="6.5703125" style="348" customWidth="1"/>
    <col min="9239" max="9239" width="5.7109375" style="348" customWidth="1"/>
    <col min="9240" max="9240" width="5.42578125" style="348" customWidth="1"/>
    <col min="9241" max="9472" width="9.140625" style="348"/>
    <col min="9473" max="9473" width="2.5703125" style="348" customWidth="1"/>
    <col min="9474" max="9474" width="13.85546875" style="348" customWidth="1"/>
    <col min="9475" max="9475" width="9.42578125" style="348" customWidth="1"/>
    <col min="9476" max="9476" width="7.28515625" style="348" customWidth="1"/>
    <col min="9477" max="9477" width="6.85546875" style="348" customWidth="1"/>
    <col min="9478" max="9478" width="7.85546875" style="348" customWidth="1"/>
    <col min="9479" max="9479" width="6.7109375" style="348" customWidth="1"/>
    <col min="9480" max="9480" width="6.28515625" style="348" customWidth="1"/>
    <col min="9481" max="9481" width="8.5703125" style="348" customWidth="1"/>
    <col min="9482" max="9482" width="8.7109375" style="348" customWidth="1"/>
    <col min="9483" max="9483" width="5.140625" style="348" customWidth="1"/>
    <col min="9484" max="9484" width="9.140625" style="348" customWidth="1"/>
    <col min="9485" max="9485" width="6.140625" style="348" customWidth="1"/>
    <col min="9486" max="9487" width="7.5703125" style="348" customWidth="1"/>
    <col min="9488" max="9488" width="6.7109375" style="348" customWidth="1"/>
    <col min="9489" max="9489" width="5.28515625" style="348" customWidth="1"/>
    <col min="9490" max="9490" width="5.85546875" style="348" customWidth="1"/>
    <col min="9491" max="9491" width="6.140625" style="348" customWidth="1"/>
    <col min="9492" max="9492" width="5.42578125" style="348" customWidth="1"/>
    <col min="9493" max="9493" width="5.28515625" style="348" customWidth="1"/>
    <col min="9494" max="9494" width="6.5703125" style="348" customWidth="1"/>
    <col min="9495" max="9495" width="5.7109375" style="348" customWidth="1"/>
    <col min="9496" max="9496" width="5.42578125" style="348" customWidth="1"/>
    <col min="9497" max="9728" width="9.140625" style="348"/>
    <col min="9729" max="9729" width="2.5703125" style="348" customWidth="1"/>
    <col min="9730" max="9730" width="13.85546875" style="348" customWidth="1"/>
    <col min="9731" max="9731" width="9.42578125" style="348" customWidth="1"/>
    <col min="9732" max="9732" width="7.28515625" style="348" customWidth="1"/>
    <col min="9733" max="9733" width="6.85546875" style="348" customWidth="1"/>
    <col min="9734" max="9734" width="7.85546875" style="348" customWidth="1"/>
    <col min="9735" max="9735" width="6.7109375" style="348" customWidth="1"/>
    <col min="9736" max="9736" width="6.28515625" style="348" customWidth="1"/>
    <col min="9737" max="9737" width="8.5703125" style="348" customWidth="1"/>
    <col min="9738" max="9738" width="8.7109375" style="348" customWidth="1"/>
    <col min="9739" max="9739" width="5.140625" style="348" customWidth="1"/>
    <col min="9740" max="9740" width="9.140625" style="348" customWidth="1"/>
    <col min="9741" max="9741" width="6.140625" style="348" customWidth="1"/>
    <col min="9742" max="9743" width="7.5703125" style="348" customWidth="1"/>
    <col min="9744" max="9744" width="6.7109375" style="348" customWidth="1"/>
    <col min="9745" max="9745" width="5.28515625" style="348" customWidth="1"/>
    <col min="9746" max="9746" width="5.85546875" style="348" customWidth="1"/>
    <col min="9747" max="9747" width="6.140625" style="348" customWidth="1"/>
    <col min="9748" max="9748" width="5.42578125" style="348" customWidth="1"/>
    <col min="9749" max="9749" width="5.28515625" style="348" customWidth="1"/>
    <col min="9750" max="9750" width="6.5703125" style="348" customWidth="1"/>
    <col min="9751" max="9751" width="5.7109375" style="348" customWidth="1"/>
    <col min="9752" max="9752" width="5.42578125" style="348" customWidth="1"/>
    <col min="9753" max="9984" width="9.140625" style="348"/>
    <col min="9985" max="9985" width="2.5703125" style="348" customWidth="1"/>
    <col min="9986" max="9986" width="13.85546875" style="348" customWidth="1"/>
    <col min="9987" max="9987" width="9.42578125" style="348" customWidth="1"/>
    <col min="9988" max="9988" width="7.28515625" style="348" customWidth="1"/>
    <col min="9989" max="9989" width="6.85546875" style="348" customWidth="1"/>
    <col min="9990" max="9990" width="7.85546875" style="348" customWidth="1"/>
    <col min="9991" max="9991" width="6.7109375" style="348" customWidth="1"/>
    <col min="9992" max="9992" width="6.28515625" style="348" customWidth="1"/>
    <col min="9993" max="9993" width="8.5703125" style="348" customWidth="1"/>
    <col min="9994" max="9994" width="8.7109375" style="348" customWidth="1"/>
    <col min="9995" max="9995" width="5.140625" style="348" customWidth="1"/>
    <col min="9996" max="9996" width="9.140625" style="348" customWidth="1"/>
    <col min="9997" max="9997" width="6.140625" style="348" customWidth="1"/>
    <col min="9998" max="9999" width="7.5703125" style="348" customWidth="1"/>
    <col min="10000" max="10000" width="6.7109375" style="348" customWidth="1"/>
    <col min="10001" max="10001" width="5.28515625" style="348" customWidth="1"/>
    <col min="10002" max="10002" width="5.85546875" style="348" customWidth="1"/>
    <col min="10003" max="10003" width="6.140625" style="348" customWidth="1"/>
    <col min="10004" max="10004" width="5.42578125" style="348" customWidth="1"/>
    <col min="10005" max="10005" width="5.28515625" style="348" customWidth="1"/>
    <col min="10006" max="10006" width="6.5703125" style="348" customWidth="1"/>
    <col min="10007" max="10007" width="5.7109375" style="348" customWidth="1"/>
    <col min="10008" max="10008" width="5.42578125" style="348" customWidth="1"/>
    <col min="10009" max="10240" width="9.140625" style="348"/>
    <col min="10241" max="10241" width="2.5703125" style="348" customWidth="1"/>
    <col min="10242" max="10242" width="13.85546875" style="348" customWidth="1"/>
    <col min="10243" max="10243" width="9.42578125" style="348" customWidth="1"/>
    <col min="10244" max="10244" width="7.28515625" style="348" customWidth="1"/>
    <col min="10245" max="10245" width="6.85546875" style="348" customWidth="1"/>
    <col min="10246" max="10246" width="7.85546875" style="348" customWidth="1"/>
    <col min="10247" max="10247" width="6.7109375" style="348" customWidth="1"/>
    <col min="10248" max="10248" width="6.28515625" style="348" customWidth="1"/>
    <col min="10249" max="10249" width="8.5703125" style="348" customWidth="1"/>
    <col min="10250" max="10250" width="8.7109375" style="348" customWidth="1"/>
    <col min="10251" max="10251" width="5.140625" style="348" customWidth="1"/>
    <col min="10252" max="10252" width="9.140625" style="348" customWidth="1"/>
    <col min="10253" max="10253" width="6.140625" style="348" customWidth="1"/>
    <col min="10254" max="10255" width="7.5703125" style="348" customWidth="1"/>
    <col min="10256" max="10256" width="6.7109375" style="348" customWidth="1"/>
    <col min="10257" max="10257" width="5.28515625" style="348" customWidth="1"/>
    <col min="10258" max="10258" width="5.85546875" style="348" customWidth="1"/>
    <col min="10259" max="10259" width="6.140625" style="348" customWidth="1"/>
    <col min="10260" max="10260" width="5.42578125" style="348" customWidth="1"/>
    <col min="10261" max="10261" width="5.28515625" style="348" customWidth="1"/>
    <col min="10262" max="10262" width="6.5703125" style="348" customWidth="1"/>
    <col min="10263" max="10263" width="5.7109375" style="348" customWidth="1"/>
    <col min="10264" max="10264" width="5.42578125" style="348" customWidth="1"/>
    <col min="10265" max="10496" width="9.140625" style="348"/>
    <col min="10497" max="10497" width="2.5703125" style="348" customWidth="1"/>
    <col min="10498" max="10498" width="13.85546875" style="348" customWidth="1"/>
    <col min="10499" max="10499" width="9.42578125" style="348" customWidth="1"/>
    <col min="10500" max="10500" width="7.28515625" style="348" customWidth="1"/>
    <col min="10501" max="10501" width="6.85546875" style="348" customWidth="1"/>
    <col min="10502" max="10502" width="7.85546875" style="348" customWidth="1"/>
    <col min="10503" max="10503" width="6.7109375" style="348" customWidth="1"/>
    <col min="10504" max="10504" width="6.28515625" style="348" customWidth="1"/>
    <col min="10505" max="10505" width="8.5703125" style="348" customWidth="1"/>
    <col min="10506" max="10506" width="8.7109375" style="348" customWidth="1"/>
    <col min="10507" max="10507" width="5.140625" style="348" customWidth="1"/>
    <col min="10508" max="10508" width="9.140625" style="348" customWidth="1"/>
    <col min="10509" max="10509" width="6.140625" style="348" customWidth="1"/>
    <col min="10510" max="10511" width="7.5703125" style="348" customWidth="1"/>
    <col min="10512" max="10512" width="6.7109375" style="348" customWidth="1"/>
    <col min="10513" max="10513" width="5.28515625" style="348" customWidth="1"/>
    <col min="10514" max="10514" width="5.85546875" style="348" customWidth="1"/>
    <col min="10515" max="10515" width="6.140625" style="348" customWidth="1"/>
    <col min="10516" max="10516" width="5.42578125" style="348" customWidth="1"/>
    <col min="10517" max="10517" width="5.28515625" style="348" customWidth="1"/>
    <col min="10518" max="10518" width="6.5703125" style="348" customWidth="1"/>
    <col min="10519" max="10519" width="5.7109375" style="348" customWidth="1"/>
    <col min="10520" max="10520" width="5.42578125" style="348" customWidth="1"/>
    <col min="10521" max="10752" width="9.140625" style="348"/>
    <col min="10753" max="10753" width="2.5703125" style="348" customWidth="1"/>
    <col min="10754" max="10754" width="13.85546875" style="348" customWidth="1"/>
    <col min="10755" max="10755" width="9.42578125" style="348" customWidth="1"/>
    <col min="10756" max="10756" width="7.28515625" style="348" customWidth="1"/>
    <col min="10757" max="10757" width="6.85546875" style="348" customWidth="1"/>
    <col min="10758" max="10758" width="7.85546875" style="348" customWidth="1"/>
    <col min="10759" max="10759" width="6.7109375" style="348" customWidth="1"/>
    <col min="10760" max="10760" width="6.28515625" style="348" customWidth="1"/>
    <col min="10761" max="10761" width="8.5703125" style="348" customWidth="1"/>
    <col min="10762" max="10762" width="8.7109375" style="348" customWidth="1"/>
    <col min="10763" max="10763" width="5.140625" style="348" customWidth="1"/>
    <col min="10764" max="10764" width="9.140625" style="348" customWidth="1"/>
    <col min="10765" max="10765" width="6.140625" style="348" customWidth="1"/>
    <col min="10766" max="10767" width="7.5703125" style="348" customWidth="1"/>
    <col min="10768" max="10768" width="6.7109375" style="348" customWidth="1"/>
    <col min="10769" max="10769" width="5.28515625" style="348" customWidth="1"/>
    <col min="10770" max="10770" width="5.85546875" style="348" customWidth="1"/>
    <col min="10771" max="10771" width="6.140625" style="348" customWidth="1"/>
    <col min="10772" max="10772" width="5.42578125" style="348" customWidth="1"/>
    <col min="10773" max="10773" width="5.28515625" style="348" customWidth="1"/>
    <col min="10774" max="10774" width="6.5703125" style="348" customWidth="1"/>
    <col min="10775" max="10775" width="5.7109375" style="348" customWidth="1"/>
    <col min="10776" max="10776" width="5.42578125" style="348" customWidth="1"/>
    <col min="10777" max="11008" width="9.140625" style="348"/>
    <col min="11009" max="11009" width="2.5703125" style="348" customWidth="1"/>
    <col min="11010" max="11010" width="13.85546875" style="348" customWidth="1"/>
    <col min="11011" max="11011" width="9.42578125" style="348" customWidth="1"/>
    <col min="11012" max="11012" width="7.28515625" style="348" customWidth="1"/>
    <col min="11013" max="11013" width="6.85546875" style="348" customWidth="1"/>
    <col min="11014" max="11014" width="7.85546875" style="348" customWidth="1"/>
    <col min="11015" max="11015" width="6.7109375" style="348" customWidth="1"/>
    <col min="11016" max="11016" width="6.28515625" style="348" customWidth="1"/>
    <col min="11017" max="11017" width="8.5703125" style="348" customWidth="1"/>
    <col min="11018" max="11018" width="8.7109375" style="348" customWidth="1"/>
    <col min="11019" max="11019" width="5.140625" style="348" customWidth="1"/>
    <col min="11020" max="11020" width="9.140625" style="348" customWidth="1"/>
    <col min="11021" max="11021" width="6.140625" style="348" customWidth="1"/>
    <col min="11022" max="11023" width="7.5703125" style="348" customWidth="1"/>
    <col min="11024" max="11024" width="6.7109375" style="348" customWidth="1"/>
    <col min="11025" max="11025" width="5.28515625" style="348" customWidth="1"/>
    <col min="11026" max="11026" width="5.85546875" style="348" customWidth="1"/>
    <col min="11027" max="11027" width="6.140625" style="348" customWidth="1"/>
    <col min="11028" max="11028" width="5.42578125" style="348" customWidth="1"/>
    <col min="11029" max="11029" width="5.28515625" style="348" customWidth="1"/>
    <col min="11030" max="11030" width="6.5703125" style="348" customWidth="1"/>
    <col min="11031" max="11031" width="5.7109375" style="348" customWidth="1"/>
    <col min="11032" max="11032" width="5.42578125" style="348" customWidth="1"/>
    <col min="11033" max="11264" width="9.140625" style="348"/>
    <col min="11265" max="11265" width="2.5703125" style="348" customWidth="1"/>
    <col min="11266" max="11266" width="13.85546875" style="348" customWidth="1"/>
    <col min="11267" max="11267" width="9.42578125" style="348" customWidth="1"/>
    <col min="11268" max="11268" width="7.28515625" style="348" customWidth="1"/>
    <col min="11269" max="11269" width="6.85546875" style="348" customWidth="1"/>
    <col min="11270" max="11270" width="7.85546875" style="348" customWidth="1"/>
    <col min="11271" max="11271" width="6.7109375" style="348" customWidth="1"/>
    <col min="11272" max="11272" width="6.28515625" style="348" customWidth="1"/>
    <col min="11273" max="11273" width="8.5703125" style="348" customWidth="1"/>
    <col min="11274" max="11274" width="8.7109375" style="348" customWidth="1"/>
    <col min="11275" max="11275" width="5.140625" style="348" customWidth="1"/>
    <col min="11276" max="11276" width="9.140625" style="348" customWidth="1"/>
    <col min="11277" max="11277" width="6.140625" style="348" customWidth="1"/>
    <col min="11278" max="11279" width="7.5703125" style="348" customWidth="1"/>
    <col min="11280" max="11280" width="6.7109375" style="348" customWidth="1"/>
    <col min="11281" max="11281" width="5.28515625" style="348" customWidth="1"/>
    <col min="11282" max="11282" width="5.85546875" style="348" customWidth="1"/>
    <col min="11283" max="11283" width="6.140625" style="348" customWidth="1"/>
    <col min="11284" max="11284" width="5.42578125" style="348" customWidth="1"/>
    <col min="11285" max="11285" width="5.28515625" style="348" customWidth="1"/>
    <col min="11286" max="11286" width="6.5703125" style="348" customWidth="1"/>
    <col min="11287" max="11287" width="5.7109375" style="348" customWidth="1"/>
    <col min="11288" max="11288" width="5.42578125" style="348" customWidth="1"/>
    <col min="11289" max="11520" width="9.140625" style="348"/>
    <col min="11521" max="11521" width="2.5703125" style="348" customWidth="1"/>
    <col min="11522" max="11522" width="13.85546875" style="348" customWidth="1"/>
    <col min="11523" max="11523" width="9.42578125" style="348" customWidth="1"/>
    <col min="11524" max="11524" width="7.28515625" style="348" customWidth="1"/>
    <col min="11525" max="11525" width="6.85546875" style="348" customWidth="1"/>
    <col min="11526" max="11526" width="7.85546875" style="348" customWidth="1"/>
    <col min="11527" max="11527" width="6.7109375" style="348" customWidth="1"/>
    <col min="11528" max="11528" width="6.28515625" style="348" customWidth="1"/>
    <col min="11529" max="11529" width="8.5703125" style="348" customWidth="1"/>
    <col min="11530" max="11530" width="8.7109375" style="348" customWidth="1"/>
    <col min="11531" max="11531" width="5.140625" style="348" customWidth="1"/>
    <col min="11532" max="11532" width="9.140625" style="348" customWidth="1"/>
    <col min="11533" max="11533" width="6.140625" style="348" customWidth="1"/>
    <col min="11534" max="11535" width="7.5703125" style="348" customWidth="1"/>
    <col min="11536" max="11536" width="6.7109375" style="348" customWidth="1"/>
    <col min="11537" max="11537" width="5.28515625" style="348" customWidth="1"/>
    <col min="11538" max="11538" width="5.85546875" style="348" customWidth="1"/>
    <col min="11539" max="11539" width="6.140625" style="348" customWidth="1"/>
    <col min="11540" max="11540" width="5.42578125" style="348" customWidth="1"/>
    <col min="11541" max="11541" width="5.28515625" style="348" customWidth="1"/>
    <col min="11542" max="11542" width="6.5703125" style="348" customWidth="1"/>
    <col min="11543" max="11543" width="5.7109375" style="348" customWidth="1"/>
    <col min="11544" max="11544" width="5.42578125" style="348" customWidth="1"/>
    <col min="11545" max="11776" width="9.140625" style="348"/>
    <col min="11777" max="11777" width="2.5703125" style="348" customWidth="1"/>
    <col min="11778" max="11778" width="13.85546875" style="348" customWidth="1"/>
    <col min="11779" max="11779" width="9.42578125" style="348" customWidth="1"/>
    <col min="11780" max="11780" width="7.28515625" style="348" customWidth="1"/>
    <col min="11781" max="11781" width="6.85546875" style="348" customWidth="1"/>
    <col min="11782" max="11782" width="7.85546875" style="348" customWidth="1"/>
    <col min="11783" max="11783" width="6.7109375" style="348" customWidth="1"/>
    <col min="11784" max="11784" width="6.28515625" style="348" customWidth="1"/>
    <col min="11785" max="11785" width="8.5703125" style="348" customWidth="1"/>
    <col min="11786" max="11786" width="8.7109375" style="348" customWidth="1"/>
    <col min="11787" max="11787" width="5.140625" style="348" customWidth="1"/>
    <col min="11788" max="11788" width="9.140625" style="348" customWidth="1"/>
    <col min="11789" max="11789" width="6.140625" style="348" customWidth="1"/>
    <col min="11790" max="11791" width="7.5703125" style="348" customWidth="1"/>
    <col min="11792" max="11792" width="6.7109375" style="348" customWidth="1"/>
    <col min="11793" max="11793" width="5.28515625" style="348" customWidth="1"/>
    <col min="11794" max="11794" width="5.85546875" style="348" customWidth="1"/>
    <col min="11795" max="11795" width="6.140625" style="348" customWidth="1"/>
    <col min="11796" max="11796" width="5.42578125" style="348" customWidth="1"/>
    <col min="11797" max="11797" width="5.28515625" style="348" customWidth="1"/>
    <col min="11798" max="11798" width="6.5703125" style="348" customWidth="1"/>
    <col min="11799" max="11799" width="5.7109375" style="348" customWidth="1"/>
    <col min="11800" max="11800" width="5.42578125" style="348" customWidth="1"/>
    <col min="11801" max="12032" width="9.140625" style="348"/>
    <col min="12033" max="12033" width="2.5703125" style="348" customWidth="1"/>
    <col min="12034" max="12034" width="13.85546875" style="348" customWidth="1"/>
    <col min="12035" max="12035" width="9.42578125" style="348" customWidth="1"/>
    <col min="12036" max="12036" width="7.28515625" style="348" customWidth="1"/>
    <col min="12037" max="12037" width="6.85546875" style="348" customWidth="1"/>
    <col min="12038" max="12038" width="7.85546875" style="348" customWidth="1"/>
    <col min="12039" max="12039" width="6.7109375" style="348" customWidth="1"/>
    <col min="12040" max="12040" width="6.28515625" style="348" customWidth="1"/>
    <col min="12041" max="12041" width="8.5703125" style="348" customWidth="1"/>
    <col min="12042" max="12042" width="8.7109375" style="348" customWidth="1"/>
    <col min="12043" max="12043" width="5.140625" style="348" customWidth="1"/>
    <col min="12044" max="12044" width="9.140625" style="348" customWidth="1"/>
    <col min="12045" max="12045" width="6.140625" style="348" customWidth="1"/>
    <col min="12046" max="12047" width="7.5703125" style="348" customWidth="1"/>
    <col min="12048" max="12048" width="6.7109375" style="348" customWidth="1"/>
    <col min="12049" max="12049" width="5.28515625" style="348" customWidth="1"/>
    <col min="12050" max="12050" width="5.85546875" style="348" customWidth="1"/>
    <col min="12051" max="12051" width="6.140625" style="348" customWidth="1"/>
    <col min="12052" max="12052" width="5.42578125" style="348" customWidth="1"/>
    <col min="12053" max="12053" width="5.28515625" style="348" customWidth="1"/>
    <col min="12054" max="12054" width="6.5703125" style="348" customWidth="1"/>
    <col min="12055" max="12055" width="5.7109375" style="348" customWidth="1"/>
    <col min="12056" max="12056" width="5.42578125" style="348" customWidth="1"/>
    <col min="12057" max="12288" width="9.140625" style="348"/>
    <col min="12289" max="12289" width="2.5703125" style="348" customWidth="1"/>
    <col min="12290" max="12290" width="13.85546875" style="348" customWidth="1"/>
    <col min="12291" max="12291" width="9.42578125" style="348" customWidth="1"/>
    <col min="12292" max="12292" width="7.28515625" style="348" customWidth="1"/>
    <col min="12293" max="12293" width="6.85546875" style="348" customWidth="1"/>
    <col min="12294" max="12294" width="7.85546875" style="348" customWidth="1"/>
    <col min="12295" max="12295" width="6.7109375" style="348" customWidth="1"/>
    <col min="12296" max="12296" width="6.28515625" style="348" customWidth="1"/>
    <col min="12297" max="12297" width="8.5703125" style="348" customWidth="1"/>
    <col min="12298" max="12298" width="8.7109375" style="348" customWidth="1"/>
    <col min="12299" max="12299" width="5.140625" style="348" customWidth="1"/>
    <col min="12300" max="12300" width="9.140625" style="348" customWidth="1"/>
    <col min="12301" max="12301" width="6.140625" style="348" customWidth="1"/>
    <col min="12302" max="12303" width="7.5703125" style="348" customWidth="1"/>
    <col min="12304" max="12304" width="6.7109375" style="348" customWidth="1"/>
    <col min="12305" max="12305" width="5.28515625" style="348" customWidth="1"/>
    <col min="12306" max="12306" width="5.85546875" style="348" customWidth="1"/>
    <col min="12307" max="12307" width="6.140625" style="348" customWidth="1"/>
    <col min="12308" max="12308" width="5.42578125" style="348" customWidth="1"/>
    <col min="12309" max="12309" width="5.28515625" style="348" customWidth="1"/>
    <col min="12310" max="12310" width="6.5703125" style="348" customWidth="1"/>
    <col min="12311" max="12311" width="5.7109375" style="348" customWidth="1"/>
    <col min="12312" max="12312" width="5.42578125" style="348" customWidth="1"/>
    <col min="12313" max="12544" width="9.140625" style="348"/>
    <col min="12545" max="12545" width="2.5703125" style="348" customWidth="1"/>
    <col min="12546" max="12546" width="13.85546875" style="348" customWidth="1"/>
    <col min="12547" max="12547" width="9.42578125" style="348" customWidth="1"/>
    <col min="12548" max="12548" width="7.28515625" style="348" customWidth="1"/>
    <col min="12549" max="12549" width="6.85546875" style="348" customWidth="1"/>
    <col min="12550" max="12550" width="7.85546875" style="348" customWidth="1"/>
    <col min="12551" max="12551" width="6.7109375" style="348" customWidth="1"/>
    <col min="12552" max="12552" width="6.28515625" style="348" customWidth="1"/>
    <col min="12553" max="12553" width="8.5703125" style="348" customWidth="1"/>
    <col min="12554" max="12554" width="8.7109375" style="348" customWidth="1"/>
    <col min="12555" max="12555" width="5.140625" style="348" customWidth="1"/>
    <col min="12556" max="12556" width="9.140625" style="348" customWidth="1"/>
    <col min="12557" max="12557" width="6.140625" style="348" customWidth="1"/>
    <col min="12558" max="12559" width="7.5703125" style="348" customWidth="1"/>
    <col min="12560" max="12560" width="6.7109375" style="348" customWidth="1"/>
    <col min="12561" max="12561" width="5.28515625" style="348" customWidth="1"/>
    <col min="12562" max="12562" width="5.85546875" style="348" customWidth="1"/>
    <col min="12563" max="12563" width="6.140625" style="348" customWidth="1"/>
    <col min="12564" max="12564" width="5.42578125" style="348" customWidth="1"/>
    <col min="12565" max="12565" width="5.28515625" style="348" customWidth="1"/>
    <col min="12566" max="12566" width="6.5703125" style="348" customWidth="1"/>
    <col min="12567" max="12567" width="5.7109375" style="348" customWidth="1"/>
    <col min="12568" max="12568" width="5.42578125" style="348" customWidth="1"/>
    <col min="12569" max="12800" width="9.140625" style="348"/>
    <col min="12801" max="12801" width="2.5703125" style="348" customWidth="1"/>
    <col min="12802" max="12802" width="13.85546875" style="348" customWidth="1"/>
    <col min="12803" max="12803" width="9.42578125" style="348" customWidth="1"/>
    <col min="12804" max="12804" width="7.28515625" style="348" customWidth="1"/>
    <col min="12805" max="12805" width="6.85546875" style="348" customWidth="1"/>
    <col min="12806" max="12806" width="7.85546875" style="348" customWidth="1"/>
    <col min="12807" max="12807" width="6.7109375" style="348" customWidth="1"/>
    <col min="12808" max="12808" width="6.28515625" style="348" customWidth="1"/>
    <col min="12809" max="12809" width="8.5703125" style="348" customWidth="1"/>
    <col min="12810" max="12810" width="8.7109375" style="348" customWidth="1"/>
    <col min="12811" max="12811" width="5.140625" style="348" customWidth="1"/>
    <col min="12812" max="12812" width="9.140625" style="348" customWidth="1"/>
    <col min="12813" max="12813" width="6.140625" style="348" customWidth="1"/>
    <col min="12814" max="12815" width="7.5703125" style="348" customWidth="1"/>
    <col min="12816" max="12816" width="6.7109375" style="348" customWidth="1"/>
    <col min="12817" max="12817" width="5.28515625" style="348" customWidth="1"/>
    <col min="12818" max="12818" width="5.85546875" style="348" customWidth="1"/>
    <col min="12819" max="12819" width="6.140625" style="348" customWidth="1"/>
    <col min="12820" max="12820" width="5.42578125" style="348" customWidth="1"/>
    <col min="12821" max="12821" width="5.28515625" style="348" customWidth="1"/>
    <col min="12822" max="12822" width="6.5703125" style="348" customWidth="1"/>
    <col min="12823" max="12823" width="5.7109375" style="348" customWidth="1"/>
    <col min="12824" max="12824" width="5.42578125" style="348" customWidth="1"/>
    <col min="12825" max="13056" width="9.140625" style="348"/>
    <col min="13057" max="13057" width="2.5703125" style="348" customWidth="1"/>
    <col min="13058" max="13058" width="13.85546875" style="348" customWidth="1"/>
    <col min="13059" max="13059" width="9.42578125" style="348" customWidth="1"/>
    <col min="13060" max="13060" width="7.28515625" style="348" customWidth="1"/>
    <col min="13061" max="13061" width="6.85546875" style="348" customWidth="1"/>
    <col min="13062" max="13062" width="7.85546875" style="348" customWidth="1"/>
    <col min="13063" max="13063" width="6.7109375" style="348" customWidth="1"/>
    <col min="13064" max="13064" width="6.28515625" style="348" customWidth="1"/>
    <col min="13065" max="13065" width="8.5703125" style="348" customWidth="1"/>
    <col min="13066" max="13066" width="8.7109375" style="348" customWidth="1"/>
    <col min="13067" max="13067" width="5.140625" style="348" customWidth="1"/>
    <col min="13068" max="13068" width="9.140625" style="348" customWidth="1"/>
    <col min="13069" max="13069" width="6.140625" style="348" customWidth="1"/>
    <col min="13070" max="13071" width="7.5703125" style="348" customWidth="1"/>
    <col min="13072" max="13072" width="6.7109375" style="348" customWidth="1"/>
    <col min="13073" max="13073" width="5.28515625" style="348" customWidth="1"/>
    <col min="13074" max="13074" width="5.85546875" style="348" customWidth="1"/>
    <col min="13075" max="13075" width="6.140625" style="348" customWidth="1"/>
    <col min="13076" max="13076" width="5.42578125" style="348" customWidth="1"/>
    <col min="13077" max="13077" width="5.28515625" style="348" customWidth="1"/>
    <col min="13078" max="13078" width="6.5703125" style="348" customWidth="1"/>
    <col min="13079" max="13079" width="5.7109375" style="348" customWidth="1"/>
    <col min="13080" max="13080" width="5.42578125" style="348" customWidth="1"/>
    <col min="13081" max="13312" width="9.140625" style="348"/>
    <col min="13313" max="13313" width="2.5703125" style="348" customWidth="1"/>
    <col min="13314" max="13314" width="13.85546875" style="348" customWidth="1"/>
    <col min="13315" max="13315" width="9.42578125" style="348" customWidth="1"/>
    <col min="13316" max="13316" width="7.28515625" style="348" customWidth="1"/>
    <col min="13317" max="13317" width="6.85546875" style="348" customWidth="1"/>
    <col min="13318" max="13318" width="7.85546875" style="348" customWidth="1"/>
    <col min="13319" max="13319" width="6.7109375" style="348" customWidth="1"/>
    <col min="13320" max="13320" width="6.28515625" style="348" customWidth="1"/>
    <col min="13321" max="13321" width="8.5703125" style="348" customWidth="1"/>
    <col min="13322" max="13322" width="8.7109375" style="348" customWidth="1"/>
    <col min="13323" max="13323" width="5.140625" style="348" customWidth="1"/>
    <col min="13324" max="13324" width="9.140625" style="348" customWidth="1"/>
    <col min="13325" max="13325" width="6.140625" style="348" customWidth="1"/>
    <col min="13326" max="13327" width="7.5703125" style="348" customWidth="1"/>
    <col min="13328" max="13328" width="6.7109375" style="348" customWidth="1"/>
    <col min="13329" max="13329" width="5.28515625" style="348" customWidth="1"/>
    <col min="13330" max="13330" width="5.85546875" style="348" customWidth="1"/>
    <col min="13331" max="13331" width="6.140625" style="348" customWidth="1"/>
    <col min="13332" max="13332" width="5.42578125" style="348" customWidth="1"/>
    <col min="13333" max="13333" width="5.28515625" style="348" customWidth="1"/>
    <col min="13334" max="13334" width="6.5703125" style="348" customWidth="1"/>
    <col min="13335" max="13335" width="5.7109375" style="348" customWidth="1"/>
    <col min="13336" max="13336" width="5.42578125" style="348" customWidth="1"/>
    <col min="13337" max="13568" width="9.140625" style="348"/>
    <col min="13569" max="13569" width="2.5703125" style="348" customWidth="1"/>
    <col min="13570" max="13570" width="13.85546875" style="348" customWidth="1"/>
    <col min="13571" max="13571" width="9.42578125" style="348" customWidth="1"/>
    <col min="13572" max="13572" width="7.28515625" style="348" customWidth="1"/>
    <col min="13573" max="13573" width="6.85546875" style="348" customWidth="1"/>
    <col min="13574" max="13574" width="7.85546875" style="348" customWidth="1"/>
    <col min="13575" max="13575" width="6.7109375" style="348" customWidth="1"/>
    <col min="13576" max="13576" width="6.28515625" style="348" customWidth="1"/>
    <col min="13577" max="13577" width="8.5703125" style="348" customWidth="1"/>
    <col min="13578" max="13578" width="8.7109375" style="348" customWidth="1"/>
    <col min="13579" max="13579" width="5.140625" style="348" customWidth="1"/>
    <col min="13580" max="13580" width="9.140625" style="348" customWidth="1"/>
    <col min="13581" max="13581" width="6.140625" style="348" customWidth="1"/>
    <col min="13582" max="13583" width="7.5703125" style="348" customWidth="1"/>
    <col min="13584" max="13584" width="6.7109375" style="348" customWidth="1"/>
    <col min="13585" max="13585" width="5.28515625" style="348" customWidth="1"/>
    <col min="13586" max="13586" width="5.85546875" style="348" customWidth="1"/>
    <col min="13587" max="13587" width="6.140625" style="348" customWidth="1"/>
    <col min="13588" max="13588" width="5.42578125" style="348" customWidth="1"/>
    <col min="13589" max="13589" width="5.28515625" style="348" customWidth="1"/>
    <col min="13590" max="13590" width="6.5703125" style="348" customWidth="1"/>
    <col min="13591" max="13591" width="5.7109375" style="348" customWidth="1"/>
    <col min="13592" max="13592" width="5.42578125" style="348" customWidth="1"/>
    <col min="13593" max="13824" width="9.140625" style="348"/>
    <col min="13825" max="13825" width="2.5703125" style="348" customWidth="1"/>
    <col min="13826" max="13826" width="13.85546875" style="348" customWidth="1"/>
    <col min="13827" max="13827" width="9.42578125" style="348" customWidth="1"/>
    <col min="13828" max="13828" width="7.28515625" style="348" customWidth="1"/>
    <col min="13829" max="13829" width="6.85546875" style="348" customWidth="1"/>
    <col min="13830" max="13830" width="7.85546875" style="348" customWidth="1"/>
    <col min="13831" max="13831" width="6.7109375" style="348" customWidth="1"/>
    <col min="13832" max="13832" width="6.28515625" style="348" customWidth="1"/>
    <col min="13833" max="13833" width="8.5703125" style="348" customWidth="1"/>
    <col min="13834" max="13834" width="8.7109375" style="348" customWidth="1"/>
    <col min="13835" max="13835" width="5.140625" style="348" customWidth="1"/>
    <col min="13836" max="13836" width="9.140625" style="348" customWidth="1"/>
    <col min="13837" max="13837" width="6.140625" style="348" customWidth="1"/>
    <col min="13838" max="13839" width="7.5703125" style="348" customWidth="1"/>
    <col min="13840" max="13840" width="6.7109375" style="348" customWidth="1"/>
    <col min="13841" max="13841" width="5.28515625" style="348" customWidth="1"/>
    <col min="13842" max="13842" width="5.85546875" style="348" customWidth="1"/>
    <col min="13843" max="13843" width="6.140625" style="348" customWidth="1"/>
    <col min="13844" max="13844" width="5.42578125" style="348" customWidth="1"/>
    <col min="13845" max="13845" width="5.28515625" style="348" customWidth="1"/>
    <col min="13846" max="13846" width="6.5703125" style="348" customWidth="1"/>
    <col min="13847" max="13847" width="5.7109375" style="348" customWidth="1"/>
    <col min="13848" max="13848" width="5.42578125" style="348" customWidth="1"/>
    <col min="13849" max="14080" width="9.140625" style="348"/>
    <col min="14081" max="14081" width="2.5703125" style="348" customWidth="1"/>
    <col min="14082" max="14082" width="13.85546875" style="348" customWidth="1"/>
    <col min="14083" max="14083" width="9.42578125" style="348" customWidth="1"/>
    <col min="14084" max="14084" width="7.28515625" style="348" customWidth="1"/>
    <col min="14085" max="14085" width="6.85546875" style="348" customWidth="1"/>
    <col min="14086" max="14086" width="7.85546875" style="348" customWidth="1"/>
    <col min="14087" max="14087" width="6.7109375" style="348" customWidth="1"/>
    <col min="14088" max="14088" width="6.28515625" style="348" customWidth="1"/>
    <col min="14089" max="14089" width="8.5703125" style="348" customWidth="1"/>
    <col min="14090" max="14090" width="8.7109375" style="348" customWidth="1"/>
    <col min="14091" max="14091" width="5.140625" style="348" customWidth="1"/>
    <col min="14092" max="14092" width="9.140625" style="348" customWidth="1"/>
    <col min="14093" max="14093" width="6.140625" style="348" customWidth="1"/>
    <col min="14094" max="14095" width="7.5703125" style="348" customWidth="1"/>
    <col min="14096" max="14096" width="6.7109375" style="348" customWidth="1"/>
    <col min="14097" max="14097" width="5.28515625" style="348" customWidth="1"/>
    <col min="14098" max="14098" width="5.85546875" style="348" customWidth="1"/>
    <col min="14099" max="14099" width="6.140625" style="348" customWidth="1"/>
    <col min="14100" max="14100" width="5.42578125" style="348" customWidth="1"/>
    <col min="14101" max="14101" width="5.28515625" style="348" customWidth="1"/>
    <col min="14102" max="14102" width="6.5703125" style="348" customWidth="1"/>
    <col min="14103" max="14103" width="5.7109375" style="348" customWidth="1"/>
    <col min="14104" max="14104" width="5.42578125" style="348" customWidth="1"/>
    <col min="14105" max="14336" width="9.140625" style="348"/>
    <col min="14337" max="14337" width="2.5703125" style="348" customWidth="1"/>
    <col min="14338" max="14338" width="13.85546875" style="348" customWidth="1"/>
    <col min="14339" max="14339" width="9.42578125" style="348" customWidth="1"/>
    <col min="14340" max="14340" width="7.28515625" style="348" customWidth="1"/>
    <col min="14341" max="14341" width="6.85546875" style="348" customWidth="1"/>
    <col min="14342" max="14342" width="7.85546875" style="348" customWidth="1"/>
    <col min="14343" max="14343" width="6.7109375" style="348" customWidth="1"/>
    <col min="14344" max="14344" width="6.28515625" style="348" customWidth="1"/>
    <col min="14345" max="14345" width="8.5703125" style="348" customWidth="1"/>
    <col min="14346" max="14346" width="8.7109375" style="348" customWidth="1"/>
    <col min="14347" max="14347" width="5.140625" style="348" customWidth="1"/>
    <col min="14348" max="14348" width="9.140625" style="348" customWidth="1"/>
    <col min="14349" max="14349" width="6.140625" style="348" customWidth="1"/>
    <col min="14350" max="14351" width="7.5703125" style="348" customWidth="1"/>
    <col min="14352" max="14352" width="6.7109375" style="348" customWidth="1"/>
    <col min="14353" max="14353" width="5.28515625" style="348" customWidth="1"/>
    <col min="14354" max="14354" width="5.85546875" style="348" customWidth="1"/>
    <col min="14355" max="14355" width="6.140625" style="348" customWidth="1"/>
    <col min="14356" max="14356" width="5.42578125" style="348" customWidth="1"/>
    <col min="14357" max="14357" width="5.28515625" style="348" customWidth="1"/>
    <col min="14358" max="14358" width="6.5703125" style="348" customWidth="1"/>
    <col min="14359" max="14359" width="5.7109375" style="348" customWidth="1"/>
    <col min="14360" max="14360" width="5.42578125" style="348" customWidth="1"/>
    <col min="14361" max="14592" width="9.140625" style="348"/>
    <col min="14593" max="14593" width="2.5703125" style="348" customWidth="1"/>
    <col min="14594" max="14594" width="13.85546875" style="348" customWidth="1"/>
    <col min="14595" max="14595" width="9.42578125" style="348" customWidth="1"/>
    <col min="14596" max="14596" width="7.28515625" style="348" customWidth="1"/>
    <col min="14597" max="14597" width="6.85546875" style="348" customWidth="1"/>
    <col min="14598" max="14598" width="7.85546875" style="348" customWidth="1"/>
    <col min="14599" max="14599" width="6.7109375" style="348" customWidth="1"/>
    <col min="14600" max="14600" width="6.28515625" style="348" customWidth="1"/>
    <col min="14601" max="14601" width="8.5703125" style="348" customWidth="1"/>
    <col min="14602" max="14602" width="8.7109375" style="348" customWidth="1"/>
    <col min="14603" max="14603" width="5.140625" style="348" customWidth="1"/>
    <col min="14604" max="14604" width="9.140625" style="348" customWidth="1"/>
    <col min="14605" max="14605" width="6.140625" style="348" customWidth="1"/>
    <col min="14606" max="14607" width="7.5703125" style="348" customWidth="1"/>
    <col min="14608" max="14608" width="6.7109375" style="348" customWidth="1"/>
    <col min="14609" max="14609" width="5.28515625" style="348" customWidth="1"/>
    <col min="14610" max="14610" width="5.85546875" style="348" customWidth="1"/>
    <col min="14611" max="14611" width="6.140625" style="348" customWidth="1"/>
    <col min="14612" max="14612" width="5.42578125" style="348" customWidth="1"/>
    <col min="14613" max="14613" width="5.28515625" style="348" customWidth="1"/>
    <col min="14614" max="14614" width="6.5703125" style="348" customWidth="1"/>
    <col min="14615" max="14615" width="5.7109375" style="348" customWidth="1"/>
    <col min="14616" max="14616" width="5.42578125" style="348" customWidth="1"/>
    <col min="14617" max="14848" width="9.140625" style="348"/>
    <col min="14849" max="14849" width="2.5703125" style="348" customWidth="1"/>
    <col min="14850" max="14850" width="13.85546875" style="348" customWidth="1"/>
    <col min="14851" max="14851" width="9.42578125" style="348" customWidth="1"/>
    <col min="14852" max="14852" width="7.28515625" style="348" customWidth="1"/>
    <col min="14853" max="14853" width="6.85546875" style="348" customWidth="1"/>
    <col min="14854" max="14854" width="7.85546875" style="348" customWidth="1"/>
    <col min="14855" max="14855" width="6.7109375" style="348" customWidth="1"/>
    <col min="14856" max="14856" width="6.28515625" style="348" customWidth="1"/>
    <col min="14857" max="14857" width="8.5703125" style="348" customWidth="1"/>
    <col min="14858" max="14858" width="8.7109375" style="348" customWidth="1"/>
    <col min="14859" max="14859" width="5.140625" style="348" customWidth="1"/>
    <col min="14860" max="14860" width="9.140625" style="348" customWidth="1"/>
    <col min="14861" max="14861" width="6.140625" style="348" customWidth="1"/>
    <col min="14862" max="14863" width="7.5703125" style="348" customWidth="1"/>
    <col min="14864" max="14864" width="6.7109375" style="348" customWidth="1"/>
    <col min="14865" max="14865" width="5.28515625" style="348" customWidth="1"/>
    <col min="14866" max="14866" width="5.85546875" style="348" customWidth="1"/>
    <col min="14867" max="14867" width="6.140625" style="348" customWidth="1"/>
    <col min="14868" max="14868" width="5.42578125" style="348" customWidth="1"/>
    <col min="14869" max="14869" width="5.28515625" style="348" customWidth="1"/>
    <col min="14870" max="14870" width="6.5703125" style="348" customWidth="1"/>
    <col min="14871" max="14871" width="5.7109375" style="348" customWidth="1"/>
    <col min="14872" max="14872" width="5.42578125" style="348" customWidth="1"/>
    <col min="14873" max="15104" width="9.140625" style="348"/>
    <col min="15105" max="15105" width="2.5703125" style="348" customWidth="1"/>
    <col min="15106" max="15106" width="13.85546875" style="348" customWidth="1"/>
    <col min="15107" max="15107" width="9.42578125" style="348" customWidth="1"/>
    <col min="15108" max="15108" width="7.28515625" style="348" customWidth="1"/>
    <col min="15109" max="15109" width="6.85546875" style="348" customWidth="1"/>
    <col min="15110" max="15110" width="7.85546875" style="348" customWidth="1"/>
    <col min="15111" max="15111" width="6.7109375" style="348" customWidth="1"/>
    <col min="15112" max="15112" width="6.28515625" style="348" customWidth="1"/>
    <col min="15113" max="15113" width="8.5703125" style="348" customWidth="1"/>
    <col min="15114" max="15114" width="8.7109375" style="348" customWidth="1"/>
    <col min="15115" max="15115" width="5.140625" style="348" customWidth="1"/>
    <col min="15116" max="15116" width="9.140625" style="348" customWidth="1"/>
    <col min="15117" max="15117" width="6.140625" style="348" customWidth="1"/>
    <col min="15118" max="15119" width="7.5703125" style="348" customWidth="1"/>
    <col min="15120" max="15120" width="6.7109375" style="348" customWidth="1"/>
    <col min="15121" max="15121" width="5.28515625" style="348" customWidth="1"/>
    <col min="15122" max="15122" width="5.85546875" style="348" customWidth="1"/>
    <col min="15123" max="15123" width="6.140625" style="348" customWidth="1"/>
    <col min="15124" max="15124" width="5.42578125" style="348" customWidth="1"/>
    <col min="15125" max="15125" width="5.28515625" style="348" customWidth="1"/>
    <col min="15126" max="15126" width="6.5703125" style="348" customWidth="1"/>
    <col min="15127" max="15127" width="5.7109375" style="348" customWidth="1"/>
    <col min="15128" max="15128" width="5.42578125" style="348" customWidth="1"/>
    <col min="15129" max="15360" width="9.140625" style="348"/>
    <col min="15361" max="15361" width="2.5703125" style="348" customWidth="1"/>
    <col min="15362" max="15362" width="13.85546875" style="348" customWidth="1"/>
    <col min="15363" max="15363" width="9.42578125" style="348" customWidth="1"/>
    <col min="15364" max="15364" width="7.28515625" style="348" customWidth="1"/>
    <col min="15365" max="15365" width="6.85546875" style="348" customWidth="1"/>
    <col min="15366" max="15366" width="7.85546875" style="348" customWidth="1"/>
    <col min="15367" max="15367" width="6.7109375" style="348" customWidth="1"/>
    <col min="15368" max="15368" width="6.28515625" style="348" customWidth="1"/>
    <col min="15369" max="15369" width="8.5703125" style="348" customWidth="1"/>
    <col min="15370" max="15370" width="8.7109375" style="348" customWidth="1"/>
    <col min="15371" max="15371" width="5.140625" style="348" customWidth="1"/>
    <col min="15372" max="15372" width="9.140625" style="348" customWidth="1"/>
    <col min="15373" max="15373" width="6.140625" style="348" customWidth="1"/>
    <col min="15374" max="15375" width="7.5703125" style="348" customWidth="1"/>
    <col min="15376" max="15376" width="6.7109375" style="348" customWidth="1"/>
    <col min="15377" max="15377" width="5.28515625" style="348" customWidth="1"/>
    <col min="15378" max="15378" width="5.85546875" style="348" customWidth="1"/>
    <col min="15379" max="15379" width="6.140625" style="348" customWidth="1"/>
    <col min="15380" max="15380" width="5.42578125" style="348" customWidth="1"/>
    <col min="15381" max="15381" width="5.28515625" style="348" customWidth="1"/>
    <col min="15382" max="15382" width="6.5703125" style="348" customWidth="1"/>
    <col min="15383" max="15383" width="5.7109375" style="348" customWidth="1"/>
    <col min="15384" max="15384" width="5.42578125" style="348" customWidth="1"/>
    <col min="15385" max="15616" width="9.140625" style="348"/>
    <col min="15617" max="15617" width="2.5703125" style="348" customWidth="1"/>
    <col min="15618" max="15618" width="13.85546875" style="348" customWidth="1"/>
    <col min="15619" max="15619" width="9.42578125" style="348" customWidth="1"/>
    <col min="15620" max="15620" width="7.28515625" style="348" customWidth="1"/>
    <col min="15621" max="15621" width="6.85546875" style="348" customWidth="1"/>
    <col min="15622" max="15622" width="7.85546875" style="348" customWidth="1"/>
    <col min="15623" max="15623" width="6.7109375" style="348" customWidth="1"/>
    <col min="15624" max="15624" width="6.28515625" style="348" customWidth="1"/>
    <col min="15625" max="15625" width="8.5703125" style="348" customWidth="1"/>
    <col min="15626" max="15626" width="8.7109375" style="348" customWidth="1"/>
    <col min="15627" max="15627" width="5.140625" style="348" customWidth="1"/>
    <col min="15628" max="15628" width="9.140625" style="348" customWidth="1"/>
    <col min="15629" max="15629" width="6.140625" style="348" customWidth="1"/>
    <col min="15630" max="15631" width="7.5703125" style="348" customWidth="1"/>
    <col min="15632" max="15632" width="6.7109375" style="348" customWidth="1"/>
    <col min="15633" max="15633" width="5.28515625" style="348" customWidth="1"/>
    <col min="15634" max="15634" width="5.85546875" style="348" customWidth="1"/>
    <col min="15635" max="15635" width="6.140625" style="348" customWidth="1"/>
    <col min="15636" max="15636" width="5.42578125" style="348" customWidth="1"/>
    <col min="15637" max="15637" width="5.28515625" style="348" customWidth="1"/>
    <col min="15638" max="15638" width="6.5703125" style="348" customWidth="1"/>
    <col min="15639" max="15639" width="5.7109375" style="348" customWidth="1"/>
    <col min="15640" max="15640" width="5.42578125" style="348" customWidth="1"/>
    <col min="15641" max="15872" width="9.140625" style="348"/>
    <col min="15873" max="15873" width="2.5703125" style="348" customWidth="1"/>
    <col min="15874" max="15874" width="13.85546875" style="348" customWidth="1"/>
    <col min="15875" max="15875" width="9.42578125" style="348" customWidth="1"/>
    <col min="15876" max="15876" width="7.28515625" style="348" customWidth="1"/>
    <col min="15877" max="15877" width="6.85546875" style="348" customWidth="1"/>
    <col min="15878" max="15878" width="7.85546875" style="348" customWidth="1"/>
    <col min="15879" max="15879" width="6.7109375" style="348" customWidth="1"/>
    <col min="15880" max="15880" width="6.28515625" style="348" customWidth="1"/>
    <col min="15881" max="15881" width="8.5703125" style="348" customWidth="1"/>
    <col min="15882" max="15882" width="8.7109375" style="348" customWidth="1"/>
    <col min="15883" max="15883" width="5.140625" style="348" customWidth="1"/>
    <col min="15884" max="15884" width="9.140625" style="348" customWidth="1"/>
    <col min="15885" max="15885" width="6.140625" style="348" customWidth="1"/>
    <col min="15886" max="15887" width="7.5703125" style="348" customWidth="1"/>
    <col min="15888" max="15888" width="6.7109375" style="348" customWidth="1"/>
    <col min="15889" max="15889" width="5.28515625" style="348" customWidth="1"/>
    <col min="15890" max="15890" width="5.85546875" style="348" customWidth="1"/>
    <col min="15891" max="15891" width="6.140625" style="348" customWidth="1"/>
    <col min="15892" max="15892" width="5.42578125" style="348" customWidth="1"/>
    <col min="15893" max="15893" width="5.28515625" style="348" customWidth="1"/>
    <col min="15894" max="15894" width="6.5703125" style="348" customWidth="1"/>
    <col min="15895" max="15895" width="5.7109375" style="348" customWidth="1"/>
    <col min="15896" max="15896" width="5.42578125" style="348" customWidth="1"/>
    <col min="15897" max="16128" width="9.140625" style="348"/>
    <col min="16129" max="16129" width="2.5703125" style="348" customWidth="1"/>
    <col min="16130" max="16130" width="13.85546875" style="348" customWidth="1"/>
    <col min="16131" max="16131" width="9.42578125" style="348" customWidth="1"/>
    <col min="16132" max="16132" width="7.28515625" style="348" customWidth="1"/>
    <col min="16133" max="16133" width="6.85546875" style="348" customWidth="1"/>
    <col min="16134" max="16134" width="7.85546875" style="348" customWidth="1"/>
    <col min="16135" max="16135" width="6.7109375" style="348" customWidth="1"/>
    <col min="16136" max="16136" width="6.28515625" style="348" customWidth="1"/>
    <col min="16137" max="16137" width="8.5703125" style="348" customWidth="1"/>
    <col min="16138" max="16138" width="8.7109375" style="348" customWidth="1"/>
    <col min="16139" max="16139" width="5.140625" style="348" customWidth="1"/>
    <col min="16140" max="16140" width="9.140625" style="348" customWidth="1"/>
    <col min="16141" max="16141" width="6.140625" style="348" customWidth="1"/>
    <col min="16142" max="16143" width="7.5703125" style="348" customWidth="1"/>
    <col min="16144" max="16144" width="6.7109375" style="348" customWidth="1"/>
    <col min="16145" max="16145" width="5.28515625" style="348" customWidth="1"/>
    <col min="16146" max="16146" width="5.85546875" style="348" customWidth="1"/>
    <col min="16147" max="16147" width="6.140625" style="348" customWidth="1"/>
    <col min="16148" max="16148" width="5.42578125" style="348" customWidth="1"/>
    <col min="16149" max="16149" width="5.28515625" style="348" customWidth="1"/>
    <col min="16150" max="16150" width="6.5703125" style="348" customWidth="1"/>
    <col min="16151" max="16151" width="5.7109375" style="348" customWidth="1"/>
    <col min="16152" max="16152" width="5.42578125" style="348" customWidth="1"/>
    <col min="16153" max="16384" width="9.140625" style="348"/>
  </cols>
  <sheetData>
    <row r="1" spans="1:30">
      <c r="U1" s="806" t="s">
        <v>494</v>
      </c>
      <c r="V1" s="806"/>
      <c r="W1" s="806"/>
      <c r="X1" s="806"/>
    </row>
    <row r="2" spans="1:30" ht="14.25" customHeight="1">
      <c r="B2" s="807" t="s">
        <v>467</v>
      </c>
      <c r="C2" s="807"/>
      <c r="D2" s="807"/>
      <c r="E2" s="807"/>
      <c r="F2" s="807"/>
      <c r="G2" s="807"/>
      <c r="H2" s="807"/>
      <c r="I2" s="807"/>
      <c r="J2" s="807"/>
      <c r="K2" s="807"/>
      <c r="L2" s="807"/>
      <c r="M2" s="807"/>
      <c r="N2" s="807"/>
      <c r="O2" s="807"/>
      <c r="P2" s="807"/>
      <c r="Q2" s="807"/>
      <c r="R2" s="807"/>
      <c r="S2" s="807"/>
      <c r="T2" s="807"/>
      <c r="U2" s="807"/>
      <c r="V2" s="807"/>
      <c r="W2" s="807"/>
    </row>
    <row r="3" spans="1:30" ht="11.25" customHeight="1">
      <c r="A3" s="808" t="s">
        <v>527</v>
      </c>
      <c r="B3" s="808"/>
      <c r="C3" s="808"/>
      <c r="D3" s="808"/>
      <c r="E3" s="808"/>
      <c r="F3" s="808"/>
      <c r="G3" s="808"/>
      <c r="H3" s="808"/>
      <c r="I3" s="808"/>
      <c r="J3" s="808"/>
      <c r="K3" s="808"/>
      <c r="L3" s="808"/>
      <c r="M3" s="808"/>
      <c r="N3" s="808"/>
      <c r="O3" s="808"/>
      <c r="P3" s="808"/>
      <c r="Q3" s="808"/>
      <c r="R3" s="808"/>
      <c r="S3" s="808"/>
      <c r="T3" s="808"/>
      <c r="U3" s="808"/>
      <c r="V3" s="808"/>
      <c r="W3" s="808"/>
    </row>
    <row r="4" spans="1:30" ht="255.6" customHeight="1">
      <c r="A4" s="349" t="s">
        <v>468</v>
      </c>
      <c r="B4" s="350" t="s">
        <v>469</v>
      </c>
      <c r="C4" s="351" t="s">
        <v>470</v>
      </c>
      <c r="D4" s="350" t="s">
        <v>471</v>
      </c>
      <c r="E4" s="350" t="s">
        <v>472</v>
      </c>
      <c r="F4" s="350" t="s">
        <v>473</v>
      </c>
      <c r="G4" s="350" t="s">
        <v>507</v>
      </c>
      <c r="H4" s="350" t="s">
        <v>474</v>
      </c>
      <c r="I4" s="350" t="s">
        <v>475</v>
      </c>
      <c r="J4" s="350" t="s">
        <v>476</v>
      </c>
      <c r="K4" s="350" t="s">
        <v>477</v>
      </c>
      <c r="L4" s="350" t="s">
        <v>478</v>
      </c>
      <c r="M4" s="352" t="s">
        <v>479</v>
      </c>
      <c r="N4" s="350" t="s">
        <v>480</v>
      </c>
      <c r="O4" s="350" t="s">
        <v>481</v>
      </c>
      <c r="P4" s="350" t="s">
        <v>482</v>
      </c>
      <c r="Q4" s="350" t="s">
        <v>483</v>
      </c>
      <c r="R4" s="350" t="s">
        <v>484</v>
      </c>
      <c r="S4" s="350" t="s">
        <v>485</v>
      </c>
      <c r="T4" s="353" t="s">
        <v>486</v>
      </c>
      <c r="U4" s="350" t="s">
        <v>487</v>
      </c>
      <c r="V4" s="350" t="s">
        <v>488</v>
      </c>
      <c r="W4" s="350" t="s">
        <v>489</v>
      </c>
      <c r="X4" s="350" t="s">
        <v>490</v>
      </c>
      <c r="Y4" s="350" t="s">
        <v>491</v>
      </c>
      <c r="Z4" s="350" t="s">
        <v>492</v>
      </c>
      <c r="AC4" s="354"/>
    </row>
    <row r="5" spans="1:30" ht="12.75" customHeight="1">
      <c r="A5" s="355"/>
      <c r="B5" s="356">
        <v>1</v>
      </c>
      <c r="C5" s="356">
        <v>2</v>
      </c>
      <c r="D5" s="356">
        <v>3</v>
      </c>
      <c r="E5" s="356">
        <v>4</v>
      </c>
      <c r="F5" s="356">
        <v>5</v>
      </c>
      <c r="G5" s="356">
        <v>6</v>
      </c>
      <c r="H5" s="356">
        <v>7</v>
      </c>
      <c r="I5" s="356">
        <v>9</v>
      </c>
      <c r="J5" s="356">
        <v>10</v>
      </c>
      <c r="K5" s="356">
        <v>11</v>
      </c>
      <c r="L5" s="356">
        <v>12</v>
      </c>
      <c r="M5" s="356">
        <v>13</v>
      </c>
      <c r="N5" s="356">
        <v>14</v>
      </c>
      <c r="O5" s="356">
        <v>15</v>
      </c>
      <c r="P5" s="356">
        <v>16</v>
      </c>
      <c r="Q5" s="356">
        <v>17</v>
      </c>
      <c r="R5" s="356">
        <v>18</v>
      </c>
      <c r="S5" s="356">
        <v>19</v>
      </c>
      <c r="T5" s="356">
        <v>20</v>
      </c>
      <c r="U5" s="356">
        <v>21</v>
      </c>
      <c r="V5" s="356">
        <v>22</v>
      </c>
      <c r="W5" s="356">
        <v>23</v>
      </c>
      <c r="X5" s="356">
        <v>24</v>
      </c>
      <c r="Y5" s="356">
        <v>25</v>
      </c>
      <c r="Z5" s="357">
        <v>26</v>
      </c>
    </row>
    <row r="6" spans="1:30" ht="37.15" customHeight="1">
      <c r="A6" s="357">
        <v>1</v>
      </c>
      <c r="B6" s="356" t="s">
        <v>374</v>
      </c>
      <c r="C6" s="358">
        <f>SUM(D6:Z6)</f>
        <v>5615.2759999999989</v>
      </c>
      <c r="D6" s="359">
        <v>232.6</v>
      </c>
      <c r="E6" s="359">
        <v>746.7</v>
      </c>
      <c r="F6" s="359">
        <v>2370.4</v>
      </c>
      <c r="G6" s="359">
        <v>30.1</v>
      </c>
      <c r="H6" s="359">
        <v>36.299999999999997</v>
      </c>
      <c r="I6" s="359">
        <v>109.2</v>
      </c>
      <c r="J6" s="359">
        <v>372.24</v>
      </c>
      <c r="K6" s="359">
        <v>4.3</v>
      </c>
      <c r="L6" s="359">
        <v>1101.9000000000001</v>
      </c>
      <c r="M6" s="359">
        <v>40.5</v>
      </c>
      <c r="N6" s="359">
        <v>221.4</v>
      </c>
      <c r="O6" s="359">
        <v>162</v>
      </c>
      <c r="P6" s="359">
        <v>15.784000000000001</v>
      </c>
      <c r="Q6" s="359">
        <v>8</v>
      </c>
      <c r="R6" s="359">
        <v>27.7</v>
      </c>
      <c r="S6" s="359">
        <v>24.8</v>
      </c>
      <c r="T6" s="359">
        <v>0.2</v>
      </c>
      <c r="U6" s="359">
        <v>8.2200000000000006</v>
      </c>
      <c r="V6" s="359">
        <v>29</v>
      </c>
      <c r="W6" s="359">
        <v>0.57999999999999996</v>
      </c>
      <c r="X6" s="359">
        <v>3.6</v>
      </c>
      <c r="Y6" s="359">
        <v>25.856000000000002</v>
      </c>
      <c r="Z6" s="358">
        <v>43.896000000000001</v>
      </c>
    </row>
    <row r="7" spans="1:30" ht="24.75" customHeight="1">
      <c r="A7" s="357">
        <v>2</v>
      </c>
      <c r="B7" s="360" t="s">
        <v>493</v>
      </c>
      <c r="C7" s="361">
        <f>SUM(D7:Z7)</f>
        <v>5481.503999999999</v>
      </c>
      <c r="D7" s="361">
        <v>273.7</v>
      </c>
      <c r="E7" s="361">
        <v>748.5</v>
      </c>
      <c r="F7" s="361">
        <v>2168</v>
      </c>
      <c r="G7" s="361">
        <v>38.4</v>
      </c>
      <c r="H7" s="361">
        <v>22.6</v>
      </c>
      <c r="I7" s="361">
        <v>94.6</v>
      </c>
      <c r="J7" s="361">
        <v>378.54</v>
      </c>
      <c r="K7" s="361">
        <v>3.2</v>
      </c>
      <c r="L7" s="361">
        <v>1069.5</v>
      </c>
      <c r="M7" s="361">
        <v>44.9</v>
      </c>
      <c r="N7" s="361">
        <v>219.9</v>
      </c>
      <c r="O7" s="361">
        <v>192.7</v>
      </c>
      <c r="P7" s="361">
        <v>15.92</v>
      </c>
      <c r="Q7" s="361">
        <v>8</v>
      </c>
      <c r="R7" s="361">
        <v>26.8</v>
      </c>
      <c r="S7" s="361">
        <v>63.1</v>
      </c>
      <c r="T7" s="361">
        <v>0.2</v>
      </c>
      <c r="U7" s="361">
        <v>8.64</v>
      </c>
      <c r="V7" s="361">
        <v>29</v>
      </c>
      <c r="W7" s="361">
        <v>0.6</v>
      </c>
      <c r="X7" s="361">
        <v>3.4</v>
      </c>
      <c r="Y7" s="361">
        <v>27</v>
      </c>
      <c r="Z7" s="362">
        <v>44.304000000000002</v>
      </c>
      <c r="AB7" s="354"/>
      <c r="AC7" s="354"/>
    </row>
    <row r="8" spans="1:30" ht="24.6" customHeight="1">
      <c r="A8" s="357">
        <v>3</v>
      </c>
      <c r="B8" s="356" t="s">
        <v>508</v>
      </c>
      <c r="C8" s="358">
        <f>SUM(D8:Z8)</f>
        <v>-133.77200000000022</v>
      </c>
      <c r="D8" s="363">
        <f>D7-D6</f>
        <v>41.099999999999994</v>
      </c>
      <c r="E8" s="363">
        <f t="shared" ref="E8:Z8" si="0">E7-E6</f>
        <v>1.7999999999999545</v>
      </c>
      <c r="F8" s="363">
        <f t="shared" si="0"/>
        <v>-202.40000000000009</v>
      </c>
      <c r="G8" s="363">
        <f t="shared" si="0"/>
        <v>8.2999999999999972</v>
      </c>
      <c r="H8" s="363">
        <f t="shared" si="0"/>
        <v>-13.699999999999996</v>
      </c>
      <c r="I8" s="363">
        <f t="shared" si="0"/>
        <v>-14.600000000000009</v>
      </c>
      <c r="J8" s="363">
        <f t="shared" si="0"/>
        <v>6.3000000000000114</v>
      </c>
      <c r="K8" s="363">
        <f t="shared" si="0"/>
        <v>-1.0999999999999996</v>
      </c>
      <c r="L8" s="363">
        <f t="shared" si="0"/>
        <v>-32.400000000000091</v>
      </c>
      <c r="M8" s="363">
        <f t="shared" si="0"/>
        <v>4.3999999999999986</v>
      </c>
      <c r="N8" s="363">
        <f t="shared" si="0"/>
        <v>-1.5</v>
      </c>
      <c r="O8" s="363">
        <f t="shared" si="0"/>
        <v>30.699999999999989</v>
      </c>
      <c r="P8" s="363">
        <f t="shared" si="0"/>
        <v>0.13599999999999923</v>
      </c>
      <c r="Q8" s="363">
        <f t="shared" si="0"/>
        <v>0</v>
      </c>
      <c r="R8" s="363">
        <f t="shared" si="0"/>
        <v>-0.89999999999999858</v>
      </c>
      <c r="S8" s="363">
        <f t="shared" si="0"/>
        <v>38.299999999999997</v>
      </c>
      <c r="T8" s="363">
        <f t="shared" si="0"/>
        <v>0</v>
      </c>
      <c r="U8" s="363">
        <f t="shared" si="0"/>
        <v>0.41999999999999993</v>
      </c>
      <c r="V8" s="363">
        <f t="shared" si="0"/>
        <v>0</v>
      </c>
      <c r="W8" s="363">
        <f t="shared" si="0"/>
        <v>2.0000000000000018E-2</v>
      </c>
      <c r="X8" s="363">
        <f t="shared" si="0"/>
        <v>-0.20000000000000018</v>
      </c>
      <c r="Y8" s="363">
        <f t="shared" si="0"/>
        <v>1.1439999999999984</v>
      </c>
      <c r="Z8" s="363">
        <f t="shared" si="0"/>
        <v>0.40800000000000125</v>
      </c>
      <c r="AB8" s="354"/>
      <c r="AD8" s="354"/>
    </row>
  </sheetData>
  <mergeCells count="3">
    <mergeCell ref="U1:X1"/>
    <mergeCell ref="B2:W2"/>
    <mergeCell ref="A3:W3"/>
  </mergeCells>
  <pageMargins left="0.25" right="0.25" top="0.75" bottom="0.75" header="0.3" footer="0.3"/>
  <pageSetup paperSize="9" scale="7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40"/>
  <sheetViews>
    <sheetView zoomScale="78" zoomScaleNormal="78" workbookViewId="0">
      <pane xSplit="2" ySplit="4" topLeftCell="C5" activePane="bottomRight" state="frozen"/>
      <selection pane="topRight" activeCell="C1" sqref="C1"/>
      <selection pane="bottomLeft" activeCell="A5" sqref="A5"/>
      <selection pane="bottomRight" activeCell="Q38" sqref="Q38"/>
    </sheetView>
  </sheetViews>
  <sheetFormatPr defaultColWidth="9.140625" defaultRowHeight="15"/>
  <cols>
    <col min="1" max="1" width="5.28515625" style="135" customWidth="1"/>
    <col min="2" max="2" width="40.28515625" style="135" customWidth="1"/>
    <col min="3" max="3" width="10.28515625" style="135" customWidth="1"/>
    <col min="4" max="4" width="10.5703125" style="135" customWidth="1"/>
    <col min="5" max="5" width="15" style="135" customWidth="1"/>
    <col min="6" max="6" width="12.42578125" style="135" customWidth="1"/>
    <col min="7" max="7" width="10.7109375" style="135" customWidth="1"/>
    <col min="8" max="8" width="11.28515625" style="135" customWidth="1"/>
    <col min="9" max="9" width="13.42578125" style="135" customWidth="1"/>
    <col min="10" max="247" width="9.140625" style="135"/>
    <col min="248" max="248" width="5.28515625" style="135" customWidth="1"/>
    <col min="249" max="249" width="43.140625" style="135" customWidth="1"/>
    <col min="250" max="250" width="10.28515625" style="135" customWidth="1"/>
    <col min="251" max="251" width="10.5703125" style="135" customWidth="1"/>
    <col min="252" max="252" width="15" style="135" customWidth="1"/>
    <col min="253" max="253" width="12.42578125" style="135" customWidth="1"/>
    <col min="254" max="254" width="10.7109375" style="135" customWidth="1"/>
    <col min="255" max="255" width="11.28515625" style="135" customWidth="1"/>
    <col min="256" max="257" width="13.42578125" style="135" customWidth="1"/>
    <col min="258" max="259" width="9.140625" style="135"/>
    <col min="260" max="260" width="9.85546875" style="135" bestFit="1" customWidth="1"/>
    <col min="261" max="503" width="9.140625" style="135"/>
    <col min="504" max="504" width="5.28515625" style="135" customWidth="1"/>
    <col min="505" max="505" width="43.140625" style="135" customWidth="1"/>
    <col min="506" max="506" width="10.28515625" style="135" customWidth="1"/>
    <col min="507" max="507" width="10.5703125" style="135" customWidth="1"/>
    <col min="508" max="508" width="15" style="135" customWidth="1"/>
    <col min="509" max="509" width="12.42578125" style="135" customWidth="1"/>
    <col min="510" max="510" width="10.7109375" style="135" customWidth="1"/>
    <col min="511" max="511" width="11.28515625" style="135" customWidth="1"/>
    <col min="512" max="513" width="13.42578125" style="135" customWidth="1"/>
    <col min="514" max="515" width="9.140625" style="135"/>
    <col min="516" max="516" width="9.85546875" style="135" bestFit="1" customWidth="1"/>
    <col min="517" max="759" width="9.140625" style="135"/>
    <col min="760" max="760" width="5.28515625" style="135" customWidth="1"/>
    <col min="761" max="761" width="43.140625" style="135" customWidth="1"/>
    <col min="762" max="762" width="10.28515625" style="135" customWidth="1"/>
    <col min="763" max="763" width="10.5703125" style="135" customWidth="1"/>
    <col min="764" max="764" width="15" style="135" customWidth="1"/>
    <col min="765" max="765" width="12.42578125" style="135" customWidth="1"/>
    <col min="766" max="766" width="10.7109375" style="135" customWidth="1"/>
    <col min="767" max="767" width="11.28515625" style="135" customWidth="1"/>
    <col min="768" max="769" width="13.42578125" style="135" customWidth="1"/>
    <col min="770" max="771" width="9.140625" style="135"/>
    <col min="772" max="772" width="9.85546875" style="135" bestFit="1" customWidth="1"/>
    <col min="773" max="1015" width="9.140625" style="135"/>
    <col min="1016" max="1016" width="5.28515625" style="135" customWidth="1"/>
    <col min="1017" max="1017" width="43.140625" style="135" customWidth="1"/>
    <col min="1018" max="1018" width="10.28515625" style="135" customWidth="1"/>
    <col min="1019" max="1019" width="10.5703125" style="135" customWidth="1"/>
    <col min="1020" max="1020" width="15" style="135" customWidth="1"/>
    <col min="1021" max="1021" width="12.42578125" style="135" customWidth="1"/>
    <col min="1022" max="1022" width="10.7109375" style="135" customWidth="1"/>
    <col min="1023" max="1023" width="11.28515625" style="135" customWidth="1"/>
    <col min="1024" max="1025" width="13.42578125" style="135" customWidth="1"/>
    <col min="1026" max="1027" width="9.140625" style="135"/>
    <col min="1028" max="1028" width="9.85546875" style="135" bestFit="1" customWidth="1"/>
    <col min="1029" max="1271" width="9.140625" style="135"/>
    <col min="1272" max="1272" width="5.28515625" style="135" customWidth="1"/>
    <col min="1273" max="1273" width="43.140625" style="135" customWidth="1"/>
    <col min="1274" max="1274" width="10.28515625" style="135" customWidth="1"/>
    <col min="1275" max="1275" width="10.5703125" style="135" customWidth="1"/>
    <col min="1276" max="1276" width="15" style="135" customWidth="1"/>
    <col min="1277" max="1277" width="12.42578125" style="135" customWidth="1"/>
    <col min="1278" max="1278" width="10.7109375" style="135" customWidth="1"/>
    <col min="1279" max="1279" width="11.28515625" style="135" customWidth="1"/>
    <col min="1280" max="1281" width="13.42578125" style="135" customWidth="1"/>
    <col min="1282" max="1283" width="9.140625" style="135"/>
    <col min="1284" max="1284" width="9.85546875" style="135" bestFit="1" customWidth="1"/>
    <col min="1285" max="1527" width="9.140625" style="135"/>
    <col min="1528" max="1528" width="5.28515625" style="135" customWidth="1"/>
    <col min="1529" max="1529" width="43.140625" style="135" customWidth="1"/>
    <col min="1530" max="1530" width="10.28515625" style="135" customWidth="1"/>
    <col min="1531" max="1531" width="10.5703125" style="135" customWidth="1"/>
    <col min="1532" max="1532" width="15" style="135" customWidth="1"/>
    <col min="1533" max="1533" width="12.42578125" style="135" customWidth="1"/>
    <col min="1534" max="1534" width="10.7109375" style="135" customWidth="1"/>
    <col min="1535" max="1535" width="11.28515625" style="135" customWidth="1"/>
    <col min="1536" max="1537" width="13.42578125" style="135" customWidth="1"/>
    <col min="1538" max="1539" width="9.140625" style="135"/>
    <col min="1540" max="1540" width="9.85546875" style="135" bestFit="1" customWidth="1"/>
    <col min="1541" max="1783" width="9.140625" style="135"/>
    <col min="1784" max="1784" width="5.28515625" style="135" customWidth="1"/>
    <col min="1785" max="1785" width="43.140625" style="135" customWidth="1"/>
    <col min="1786" max="1786" width="10.28515625" style="135" customWidth="1"/>
    <col min="1787" max="1787" width="10.5703125" style="135" customWidth="1"/>
    <col min="1788" max="1788" width="15" style="135" customWidth="1"/>
    <col min="1789" max="1789" width="12.42578125" style="135" customWidth="1"/>
    <col min="1790" max="1790" width="10.7109375" style="135" customWidth="1"/>
    <col min="1791" max="1791" width="11.28515625" style="135" customWidth="1"/>
    <col min="1792" max="1793" width="13.42578125" style="135" customWidth="1"/>
    <col min="1794" max="1795" width="9.140625" style="135"/>
    <col min="1796" max="1796" width="9.85546875" style="135" bestFit="1" customWidth="1"/>
    <col min="1797" max="2039" width="9.140625" style="135"/>
    <col min="2040" max="2040" width="5.28515625" style="135" customWidth="1"/>
    <col min="2041" max="2041" width="43.140625" style="135" customWidth="1"/>
    <col min="2042" max="2042" width="10.28515625" style="135" customWidth="1"/>
    <col min="2043" max="2043" width="10.5703125" style="135" customWidth="1"/>
    <col min="2044" max="2044" width="15" style="135" customWidth="1"/>
    <col min="2045" max="2045" width="12.42578125" style="135" customWidth="1"/>
    <col min="2046" max="2046" width="10.7109375" style="135" customWidth="1"/>
    <col min="2047" max="2047" width="11.28515625" style="135" customWidth="1"/>
    <col min="2048" max="2049" width="13.42578125" style="135" customWidth="1"/>
    <col min="2050" max="2051" width="9.140625" style="135"/>
    <col min="2052" max="2052" width="9.85546875" style="135" bestFit="1" customWidth="1"/>
    <col min="2053" max="2295" width="9.140625" style="135"/>
    <col min="2296" max="2296" width="5.28515625" style="135" customWidth="1"/>
    <col min="2297" max="2297" width="43.140625" style="135" customWidth="1"/>
    <col min="2298" max="2298" width="10.28515625" style="135" customWidth="1"/>
    <col min="2299" max="2299" width="10.5703125" style="135" customWidth="1"/>
    <col min="2300" max="2300" width="15" style="135" customWidth="1"/>
    <col min="2301" max="2301" width="12.42578125" style="135" customWidth="1"/>
    <col min="2302" max="2302" width="10.7109375" style="135" customWidth="1"/>
    <col min="2303" max="2303" width="11.28515625" style="135" customWidth="1"/>
    <col min="2304" max="2305" width="13.42578125" style="135" customWidth="1"/>
    <col min="2306" max="2307" width="9.140625" style="135"/>
    <col min="2308" max="2308" width="9.85546875" style="135" bestFit="1" customWidth="1"/>
    <col min="2309" max="2551" width="9.140625" style="135"/>
    <col min="2552" max="2552" width="5.28515625" style="135" customWidth="1"/>
    <col min="2553" max="2553" width="43.140625" style="135" customWidth="1"/>
    <col min="2554" max="2554" width="10.28515625" style="135" customWidth="1"/>
    <col min="2555" max="2555" width="10.5703125" style="135" customWidth="1"/>
    <col min="2556" max="2556" width="15" style="135" customWidth="1"/>
    <col min="2557" max="2557" width="12.42578125" style="135" customWidth="1"/>
    <col min="2558" max="2558" width="10.7109375" style="135" customWidth="1"/>
    <col min="2559" max="2559" width="11.28515625" style="135" customWidth="1"/>
    <col min="2560" max="2561" width="13.42578125" style="135" customWidth="1"/>
    <col min="2562" max="2563" width="9.140625" style="135"/>
    <col min="2564" max="2564" width="9.85546875" style="135" bestFit="1" customWidth="1"/>
    <col min="2565" max="2807" width="9.140625" style="135"/>
    <col min="2808" max="2808" width="5.28515625" style="135" customWidth="1"/>
    <col min="2809" max="2809" width="43.140625" style="135" customWidth="1"/>
    <col min="2810" max="2810" width="10.28515625" style="135" customWidth="1"/>
    <col min="2811" max="2811" width="10.5703125" style="135" customWidth="1"/>
    <col min="2812" max="2812" width="15" style="135" customWidth="1"/>
    <col min="2813" max="2813" width="12.42578125" style="135" customWidth="1"/>
    <col min="2814" max="2814" width="10.7109375" style="135" customWidth="1"/>
    <col min="2815" max="2815" width="11.28515625" style="135" customWidth="1"/>
    <col min="2816" max="2817" width="13.42578125" style="135" customWidth="1"/>
    <col min="2818" max="2819" width="9.140625" style="135"/>
    <col min="2820" max="2820" width="9.85546875" style="135" bestFit="1" customWidth="1"/>
    <col min="2821" max="3063" width="9.140625" style="135"/>
    <col min="3064" max="3064" width="5.28515625" style="135" customWidth="1"/>
    <col min="3065" max="3065" width="43.140625" style="135" customWidth="1"/>
    <col min="3066" max="3066" width="10.28515625" style="135" customWidth="1"/>
    <col min="3067" max="3067" width="10.5703125" style="135" customWidth="1"/>
    <col min="3068" max="3068" width="15" style="135" customWidth="1"/>
    <col min="3069" max="3069" width="12.42578125" style="135" customWidth="1"/>
    <col min="3070" max="3070" width="10.7109375" style="135" customWidth="1"/>
    <col min="3071" max="3071" width="11.28515625" style="135" customWidth="1"/>
    <col min="3072" max="3073" width="13.42578125" style="135" customWidth="1"/>
    <col min="3074" max="3075" width="9.140625" style="135"/>
    <col min="3076" max="3076" width="9.85546875" style="135" bestFit="1" customWidth="1"/>
    <col min="3077" max="3319" width="9.140625" style="135"/>
    <col min="3320" max="3320" width="5.28515625" style="135" customWidth="1"/>
    <col min="3321" max="3321" width="43.140625" style="135" customWidth="1"/>
    <col min="3322" max="3322" width="10.28515625" style="135" customWidth="1"/>
    <col min="3323" max="3323" width="10.5703125" style="135" customWidth="1"/>
    <col min="3324" max="3324" width="15" style="135" customWidth="1"/>
    <col min="3325" max="3325" width="12.42578125" style="135" customWidth="1"/>
    <col min="3326" max="3326" width="10.7109375" style="135" customWidth="1"/>
    <col min="3327" max="3327" width="11.28515625" style="135" customWidth="1"/>
    <col min="3328" max="3329" width="13.42578125" style="135" customWidth="1"/>
    <col min="3330" max="3331" width="9.140625" style="135"/>
    <col min="3332" max="3332" width="9.85546875" style="135" bestFit="1" customWidth="1"/>
    <col min="3333" max="3575" width="9.140625" style="135"/>
    <col min="3576" max="3576" width="5.28515625" style="135" customWidth="1"/>
    <col min="3577" max="3577" width="43.140625" style="135" customWidth="1"/>
    <col min="3578" max="3578" width="10.28515625" style="135" customWidth="1"/>
    <col min="3579" max="3579" width="10.5703125" style="135" customWidth="1"/>
    <col min="3580" max="3580" width="15" style="135" customWidth="1"/>
    <col min="3581" max="3581" width="12.42578125" style="135" customWidth="1"/>
    <col min="3582" max="3582" width="10.7109375" style="135" customWidth="1"/>
    <col min="3583" max="3583" width="11.28515625" style="135" customWidth="1"/>
    <col min="3584" max="3585" width="13.42578125" style="135" customWidth="1"/>
    <col min="3586" max="3587" width="9.140625" style="135"/>
    <col min="3588" max="3588" width="9.85546875" style="135" bestFit="1" customWidth="1"/>
    <col min="3589" max="3831" width="9.140625" style="135"/>
    <col min="3832" max="3832" width="5.28515625" style="135" customWidth="1"/>
    <col min="3833" max="3833" width="43.140625" style="135" customWidth="1"/>
    <col min="3834" max="3834" width="10.28515625" style="135" customWidth="1"/>
    <col min="3835" max="3835" width="10.5703125" style="135" customWidth="1"/>
    <col min="3836" max="3836" width="15" style="135" customWidth="1"/>
    <col min="3837" max="3837" width="12.42578125" style="135" customWidth="1"/>
    <col min="3838" max="3838" width="10.7109375" style="135" customWidth="1"/>
    <col min="3839" max="3839" width="11.28515625" style="135" customWidth="1"/>
    <col min="3840" max="3841" width="13.42578125" style="135" customWidth="1"/>
    <col min="3842" max="3843" width="9.140625" style="135"/>
    <col min="3844" max="3844" width="9.85546875" style="135" bestFit="1" customWidth="1"/>
    <col min="3845" max="4087" width="9.140625" style="135"/>
    <col min="4088" max="4088" width="5.28515625" style="135" customWidth="1"/>
    <col min="4089" max="4089" width="43.140625" style="135" customWidth="1"/>
    <col min="4090" max="4090" width="10.28515625" style="135" customWidth="1"/>
    <col min="4091" max="4091" width="10.5703125" style="135" customWidth="1"/>
    <col min="4092" max="4092" width="15" style="135" customWidth="1"/>
    <col min="4093" max="4093" width="12.42578125" style="135" customWidth="1"/>
    <col min="4094" max="4094" width="10.7109375" style="135" customWidth="1"/>
    <col min="4095" max="4095" width="11.28515625" style="135" customWidth="1"/>
    <col min="4096" max="4097" width="13.42578125" style="135" customWidth="1"/>
    <col min="4098" max="4099" width="9.140625" style="135"/>
    <col min="4100" max="4100" width="9.85546875" style="135" bestFit="1" customWidth="1"/>
    <col min="4101" max="4343" width="9.140625" style="135"/>
    <col min="4344" max="4344" width="5.28515625" style="135" customWidth="1"/>
    <col min="4345" max="4345" width="43.140625" style="135" customWidth="1"/>
    <col min="4346" max="4346" width="10.28515625" style="135" customWidth="1"/>
    <col min="4347" max="4347" width="10.5703125" style="135" customWidth="1"/>
    <col min="4348" max="4348" width="15" style="135" customWidth="1"/>
    <col min="4349" max="4349" width="12.42578125" style="135" customWidth="1"/>
    <col min="4350" max="4350" width="10.7109375" style="135" customWidth="1"/>
    <col min="4351" max="4351" width="11.28515625" style="135" customWidth="1"/>
    <col min="4352" max="4353" width="13.42578125" style="135" customWidth="1"/>
    <col min="4354" max="4355" width="9.140625" style="135"/>
    <col min="4356" max="4356" width="9.85546875" style="135" bestFit="1" customWidth="1"/>
    <col min="4357" max="4599" width="9.140625" style="135"/>
    <col min="4600" max="4600" width="5.28515625" style="135" customWidth="1"/>
    <col min="4601" max="4601" width="43.140625" style="135" customWidth="1"/>
    <col min="4602" max="4602" width="10.28515625" style="135" customWidth="1"/>
    <col min="4603" max="4603" width="10.5703125" style="135" customWidth="1"/>
    <col min="4604" max="4604" width="15" style="135" customWidth="1"/>
    <col min="4605" max="4605" width="12.42578125" style="135" customWidth="1"/>
    <col min="4606" max="4606" width="10.7109375" style="135" customWidth="1"/>
    <col min="4607" max="4607" width="11.28515625" style="135" customWidth="1"/>
    <col min="4608" max="4609" width="13.42578125" style="135" customWidth="1"/>
    <col min="4610" max="4611" width="9.140625" style="135"/>
    <col min="4612" max="4612" width="9.85546875" style="135" bestFit="1" customWidth="1"/>
    <col min="4613" max="4855" width="9.140625" style="135"/>
    <col min="4856" max="4856" width="5.28515625" style="135" customWidth="1"/>
    <col min="4857" max="4857" width="43.140625" style="135" customWidth="1"/>
    <col min="4858" max="4858" width="10.28515625" style="135" customWidth="1"/>
    <col min="4859" max="4859" width="10.5703125" style="135" customWidth="1"/>
    <col min="4860" max="4860" width="15" style="135" customWidth="1"/>
    <col min="4861" max="4861" width="12.42578125" style="135" customWidth="1"/>
    <col min="4862" max="4862" width="10.7109375" style="135" customWidth="1"/>
    <col min="4863" max="4863" width="11.28515625" style="135" customWidth="1"/>
    <col min="4864" max="4865" width="13.42578125" style="135" customWidth="1"/>
    <col min="4866" max="4867" width="9.140625" style="135"/>
    <col min="4868" max="4868" width="9.85546875" style="135" bestFit="1" customWidth="1"/>
    <col min="4869" max="5111" width="9.140625" style="135"/>
    <col min="5112" max="5112" width="5.28515625" style="135" customWidth="1"/>
    <col min="5113" max="5113" width="43.140625" style="135" customWidth="1"/>
    <col min="5114" max="5114" width="10.28515625" style="135" customWidth="1"/>
    <col min="5115" max="5115" width="10.5703125" style="135" customWidth="1"/>
    <col min="5116" max="5116" width="15" style="135" customWidth="1"/>
    <col min="5117" max="5117" width="12.42578125" style="135" customWidth="1"/>
    <col min="5118" max="5118" width="10.7109375" style="135" customWidth="1"/>
    <col min="5119" max="5119" width="11.28515625" style="135" customWidth="1"/>
    <col min="5120" max="5121" width="13.42578125" style="135" customWidth="1"/>
    <col min="5122" max="5123" width="9.140625" style="135"/>
    <col min="5124" max="5124" width="9.85546875" style="135" bestFit="1" customWidth="1"/>
    <col min="5125" max="5367" width="9.140625" style="135"/>
    <col min="5368" max="5368" width="5.28515625" style="135" customWidth="1"/>
    <col min="5369" max="5369" width="43.140625" style="135" customWidth="1"/>
    <col min="5370" max="5370" width="10.28515625" style="135" customWidth="1"/>
    <col min="5371" max="5371" width="10.5703125" style="135" customWidth="1"/>
    <col min="5372" max="5372" width="15" style="135" customWidth="1"/>
    <col min="5373" max="5373" width="12.42578125" style="135" customWidth="1"/>
    <col min="5374" max="5374" width="10.7109375" style="135" customWidth="1"/>
    <col min="5375" max="5375" width="11.28515625" style="135" customWidth="1"/>
    <col min="5376" max="5377" width="13.42578125" style="135" customWidth="1"/>
    <col min="5378" max="5379" width="9.140625" style="135"/>
    <col min="5380" max="5380" width="9.85546875" style="135" bestFit="1" customWidth="1"/>
    <col min="5381" max="5623" width="9.140625" style="135"/>
    <col min="5624" max="5624" width="5.28515625" style="135" customWidth="1"/>
    <col min="5625" max="5625" width="43.140625" style="135" customWidth="1"/>
    <col min="5626" max="5626" width="10.28515625" style="135" customWidth="1"/>
    <col min="5627" max="5627" width="10.5703125" style="135" customWidth="1"/>
    <col min="5628" max="5628" width="15" style="135" customWidth="1"/>
    <col min="5629" max="5629" width="12.42578125" style="135" customWidth="1"/>
    <col min="5630" max="5630" width="10.7109375" style="135" customWidth="1"/>
    <col min="5631" max="5631" width="11.28515625" style="135" customWidth="1"/>
    <col min="5632" max="5633" width="13.42578125" style="135" customWidth="1"/>
    <col min="5634" max="5635" width="9.140625" style="135"/>
    <col min="5636" max="5636" width="9.85546875" style="135" bestFit="1" customWidth="1"/>
    <col min="5637" max="5879" width="9.140625" style="135"/>
    <col min="5880" max="5880" width="5.28515625" style="135" customWidth="1"/>
    <col min="5881" max="5881" width="43.140625" style="135" customWidth="1"/>
    <col min="5882" max="5882" width="10.28515625" style="135" customWidth="1"/>
    <col min="5883" max="5883" width="10.5703125" style="135" customWidth="1"/>
    <col min="5884" max="5884" width="15" style="135" customWidth="1"/>
    <col min="5885" max="5885" width="12.42578125" style="135" customWidth="1"/>
    <col min="5886" max="5886" width="10.7109375" style="135" customWidth="1"/>
    <col min="5887" max="5887" width="11.28515625" style="135" customWidth="1"/>
    <col min="5888" max="5889" width="13.42578125" style="135" customWidth="1"/>
    <col min="5890" max="5891" width="9.140625" style="135"/>
    <col min="5892" max="5892" width="9.85546875" style="135" bestFit="1" customWidth="1"/>
    <col min="5893" max="6135" width="9.140625" style="135"/>
    <col min="6136" max="6136" width="5.28515625" style="135" customWidth="1"/>
    <col min="6137" max="6137" width="43.140625" style="135" customWidth="1"/>
    <col min="6138" max="6138" width="10.28515625" style="135" customWidth="1"/>
    <col min="6139" max="6139" width="10.5703125" style="135" customWidth="1"/>
    <col min="6140" max="6140" width="15" style="135" customWidth="1"/>
    <col min="6141" max="6141" width="12.42578125" style="135" customWidth="1"/>
    <col min="6142" max="6142" width="10.7109375" style="135" customWidth="1"/>
    <col min="6143" max="6143" width="11.28515625" style="135" customWidth="1"/>
    <col min="6144" max="6145" width="13.42578125" style="135" customWidth="1"/>
    <col min="6146" max="6147" width="9.140625" style="135"/>
    <col min="6148" max="6148" width="9.85546875" style="135" bestFit="1" customWidth="1"/>
    <col min="6149" max="6391" width="9.140625" style="135"/>
    <col min="6392" max="6392" width="5.28515625" style="135" customWidth="1"/>
    <col min="6393" max="6393" width="43.140625" style="135" customWidth="1"/>
    <col min="6394" max="6394" width="10.28515625" style="135" customWidth="1"/>
    <col min="6395" max="6395" width="10.5703125" style="135" customWidth="1"/>
    <col min="6396" max="6396" width="15" style="135" customWidth="1"/>
    <col min="6397" max="6397" width="12.42578125" style="135" customWidth="1"/>
    <col min="6398" max="6398" width="10.7109375" style="135" customWidth="1"/>
    <col min="6399" max="6399" width="11.28515625" style="135" customWidth="1"/>
    <col min="6400" max="6401" width="13.42578125" style="135" customWidth="1"/>
    <col min="6402" max="6403" width="9.140625" style="135"/>
    <col min="6404" max="6404" width="9.85546875" style="135" bestFit="1" customWidth="1"/>
    <col min="6405" max="6647" width="9.140625" style="135"/>
    <col min="6648" max="6648" width="5.28515625" style="135" customWidth="1"/>
    <col min="6649" max="6649" width="43.140625" style="135" customWidth="1"/>
    <col min="6650" max="6650" width="10.28515625" style="135" customWidth="1"/>
    <col min="6651" max="6651" width="10.5703125" style="135" customWidth="1"/>
    <col min="6652" max="6652" width="15" style="135" customWidth="1"/>
    <col min="6653" max="6653" width="12.42578125" style="135" customWidth="1"/>
    <col min="6654" max="6654" width="10.7109375" style="135" customWidth="1"/>
    <col min="6655" max="6655" width="11.28515625" style="135" customWidth="1"/>
    <col min="6656" max="6657" width="13.42578125" style="135" customWidth="1"/>
    <col min="6658" max="6659" width="9.140625" style="135"/>
    <col min="6660" max="6660" width="9.85546875" style="135" bestFit="1" customWidth="1"/>
    <col min="6661" max="6903" width="9.140625" style="135"/>
    <col min="6904" max="6904" width="5.28515625" style="135" customWidth="1"/>
    <col min="6905" max="6905" width="43.140625" style="135" customWidth="1"/>
    <col min="6906" max="6906" width="10.28515625" style="135" customWidth="1"/>
    <col min="6907" max="6907" width="10.5703125" style="135" customWidth="1"/>
    <col min="6908" max="6908" width="15" style="135" customWidth="1"/>
    <col min="6909" max="6909" width="12.42578125" style="135" customWidth="1"/>
    <col min="6910" max="6910" width="10.7109375" style="135" customWidth="1"/>
    <col min="6911" max="6911" width="11.28515625" style="135" customWidth="1"/>
    <col min="6912" max="6913" width="13.42578125" style="135" customWidth="1"/>
    <col min="6914" max="6915" width="9.140625" style="135"/>
    <col min="6916" max="6916" width="9.85546875" style="135" bestFit="1" customWidth="1"/>
    <col min="6917" max="7159" width="9.140625" style="135"/>
    <col min="7160" max="7160" width="5.28515625" style="135" customWidth="1"/>
    <col min="7161" max="7161" width="43.140625" style="135" customWidth="1"/>
    <col min="7162" max="7162" width="10.28515625" style="135" customWidth="1"/>
    <col min="7163" max="7163" width="10.5703125" style="135" customWidth="1"/>
    <col min="7164" max="7164" width="15" style="135" customWidth="1"/>
    <col min="7165" max="7165" width="12.42578125" style="135" customWidth="1"/>
    <col min="7166" max="7166" width="10.7109375" style="135" customWidth="1"/>
    <col min="7167" max="7167" width="11.28515625" style="135" customWidth="1"/>
    <col min="7168" max="7169" width="13.42578125" style="135" customWidth="1"/>
    <col min="7170" max="7171" width="9.140625" style="135"/>
    <col min="7172" max="7172" width="9.85546875" style="135" bestFit="1" customWidth="1"/>
    <col min="7173" max="7415" width="9.140625" style="135"/>
    <col min="7416" max="7416" width="5.28515625" style="135" customWidth="1"/>
    <col min="7417" max="7417" width="43.140625" style="135" customWidth="1"/>
    <col min="7418" max="7418" width="10.28515625" style="135" customWidth="1"/>
    <col min="7419" max="7419" width="10.5703125" style="135" customWidth="1"/>
    <col min="7420" max="7420" width="15" style="135" customWidth="1"/>
    <col min="7421" max="7421" width="12.42578125" style="135" customWidth="1"/>
    <col min="7422" max="7422" width="10.7109375" style="135" customWidth="1"/>
    <col min="7423" max="7423" width="11.28515625" style="135" customWidth="1"/>
    <col min="7424" max="7425" width="13.42578125" style="135" customWidth="1"/>
    <col min="7426" max="7427" width="9.140625" style="135"/>
    <col min="7428" max="7428" width="9.85546875" style="135" bestFit="1" customWidth="1"/>
    <col min="7429" max="7671" width="9.140625" style="135"/>
    <col min="7672" max="7672" width="5.28515625" style="135" customWidth="1"/>
    <col min="7673" max="7673" width="43.140625" style="135" customWidth="1"/>
    <col min="7674" max="7674" width="10.28515625" style="135" customWidth="1"/>
    <col min="7675" max="7675" width="10.5703125" style="135" customWidth="1"/>
    <col min="7676" max="7676" width="15" style="135" customWidth="1"/>
    <col min="7677" max="7677" width="12.42578125" style="135" customWidth="1"/>
    <col min="7678" max="7678" width="10.7109375" style="135" customWidth="1"/>
    <col min="7679" max="7679" width="11.28515625" style="135" customWidth="1"/>
    <col min="7680" max="7681" width="13.42578125" style="135" customWidth="1"/>
    <col min="7682" max="7683" width="9.140625" style="135"/>
    <col min="7684" max="7684" width="9.85546875" style="135" bestFit="1" customWidth="1"/>
    <col min="7685" max="7927" width="9.140625" style="135"/>
    <col min="7928" max="7928" width="5.28515625" style="135" customWidth="1"/>
    <col min="7929" max="7929" width="43.140625" style="135" customWidth="1"/>
    <col min="7930" max="7930" width="10.28515625" style="135" customWidth="1"/>
    <col min="7931" max="7931" width="10.5703125" style="135" customWidth="1"/>
    <col min="7932" max="7932" width="15" style="135" customWidth="1"/>
    <col min="7933" max="7933" width="12.42578125" style="135" customWidth="1"/>
    <col min="7934" max="7934" width="10.7109375" style="135" customWidth="1"/>
    <col min="7935" max="7935" width="11.28515625" style="135" customWidth="1"/>
    <col min="7936" max="7937" width="13.42578125" style="135" customWidth="1"/>
    <col min="7938" max="7939" width="9.140625" style="135"/>
    <col min="7940" max="7940" width="9.85546875" style="135" bestFit="1" customWidth="1"/>
    <col min="7941" max="8183" width="9.140625" style="135"/>
    <col min="8184" max="8184" width="5.28515625" style="135" customWidth="1"/>
    <col min="8185" max="8185" width="43.140625" style="135" customWidth="1"/>
    <col min="8186" max="8186" width="10.28515625" style="135" customWidth="1"/>
    <col min="8187" max="8187" width="10.5703125" style="135" customWidth="1"/>
    <col min="8188" max="8188" width="15" style="135" customWidth="1"/>
    <col min="8189" max="8189" width="12.42578125" style="135" customWidth="1"/>
    <col min="8190" max="8190" width="10.7109375" style="135" customWidth="1"/>
    <col min="8191" max="8191" width="11.28515625" style="135" customWidth="1"/>
    <col min="8192" max="8193" width="13.42578125" style="135" customWidth="1"/>
    <col min="8194" max="8195" width="9.140625" style="135"/>
    <col min="8196" max="8196" width="9.85546875" style="135" bestFit="1" customWidth="1"/>
    <col min="8197" max="8439" width="9.140625" style="135"/>
    <col min="8440" max="8440" width="5.28515625" style="135" customWidth="1"/>
    <col min="8441" max="8441" width="43.140625" style="135" customWidth="1"/>
    <col min="8442" max="8442" width="10.28515625" style="135" customWidth="1"/>
    <col min="8443" max="8443" width="10.5703125" style="135" customWidth="1"/>
    <col min="8444" max="8444" width="15" style="135" customWidth="1"/>
    <col min="8445" max="8445" width="12.42578125" style="135" customWidth="1"/>
    <col min="8446" max="8446" width="10.7109375" style="135" customWidth="1"/>
    <col min="8447" max="8447" width="11.28515625" style="135" customWidth="1"/>
    <col min="8448" max="8449" width="13.42578125" style="135" customWidth="1"/>
    <col min="8450" max="8451" width="9.140625" style="135"/>
    <col min="8452" max="8452" width="9.85546875" style="135" bestFit="1" customWidth="1"/>
    <col min="8453" max="8695" width="9.140625" style="135"/>
    <col min="8696" max="8696" width="5.28515625" style="135" customWidth="1"/>
    <col min="8697" max="8697" width="43.140625" style="135" customWidth="1"/>
    <col min="8698" max="8698" width="10.28515625" style="135" customWidth="1"/>
    <col min="8699" max="8699" width="10.5703125" style="135" customWidth="1"/>
    <col min="8700" max="8700" width="15" style="135" customWidth="1"/>
    <col min="8701" max="8701" width="12.42578125" style="135" customWidth="1"/>
    <col min="8702" max="8702" width="10.7109375" style="135" customWidth="1"/>
    <col min="8703" max="8703" width="11.28515625" style="135" customWidth="1"/>
    <col min="8704" max="8705" width="13.42578125" style="135" customWidth="1"/>
    <col min="8706" max="8707" width="9.140625" style="135"/>
    <col min="8708" max="8708" width="9.85546875" style="135" bestFit="1" customWidth="1"/>
    <col min="8709" max="8951" width="9.140625" style="135"/>
    <col min="8952" max="8952" width="5.28515625" style="135" customWidth="1"/>
    <col min="8953" max="8953" width="43.140625" style="135" customWidth="1"/>
    <col min="8954" max="8954" width="10.28515625" style="135" customWidth="1"/>
    <col min="8955" max="8955" width="10.5703125" style="135" customWidth="1"/>
    <col min="8956" max="8956" width="15" style="135" customWidth="1"/>
    <col min="8957" max="8957" width="12.42578125" style="135" customWidth="1"/>
    <col min="8958" max="8958" width="10.7109375" style="135" customWidth="1"/>
    <col min="8959" max="8959" width="11.28515625" style="135" customWidth="1"/>
    <col min="8960" max="8961" width="13.42578125" style="135" customWidth="1"/>
    <col min="8962" max="8963" width="9.140625" style="135"/>
    <col min="8964" max="8964" width="9.85546875" style="135" bestFit="1" customWidth="1"/>
    <col min="8965" max="9207" width="9.140625" style="135"/>
    <col min="9208" max="9208" width="5.28515625" style="135" customWidth="1"/>
    <col min="9209" max="9209" width="43.140625" style="135" customWidth="1"/>
    <col min="9210" max="9210" width="10.28515625" style="135" customWidth="1"/>
    <col min="9211" max="9211" width="10.5703125" style="135" customWidth="1"/>
    <col min="9212" max="9212" width="15" style="135" customWidth="1"/>
    <col min="9213" max="9213" width="12.42578125" style="135" customWidth="1"/>
    <col min="9214" max="9214" width="10.7109375" style="135" customWidth="1"/>
    <col min="9215" max="9215" width="11.28515625" style="135" customWidth="1"/>
    <col min="9216" max="9217" width="13.42578125" style="135" customWidth="1"/>
    <col min="9218" max="9219" width="9.140625" style="135"/>
    <col min="9220" max="9220" width="9.85546875" style="135" bestFit="1" customWidth="1"/>
    <col min="9221" max="9463" width="9.140625" style="135"/>
    <col min="9464" max="9464" width="5.28515625" style="135" customWidth="1"/>
    <col min="9465" max="9465" width="43.140625" style="135" customWidth="1"/>
    <col min="9466" max="9466" width="10.28515625" style="135" customWidth="1"/>
    <col min="9467" max="9467" width="10.5703125" style="135" customWidth="1"/>
    <col min="9468" max="9468" width="15" style="135" customWidth="1"/>
    <col min="9469" max="9469" width="12.42578125" style="135" customWidth="1"/>
    <col min="9470" max="9470" width="10.7109375" style="135" customWidth="1"/>
    <col min="9471" max="9471" width="11.28515625" style="135" customWidth="1"/>
    <col min="9472" max="9473" width="13.42578125" style="135" customWidth="1"/>
    <col min="9474" max="9475" width="9.140625" style="135"/>
    <col min="9476" max="9476" width="9.85546875" style="135" bestFit="1" customWidth="1"/>
    <col min="9477" max="9719" width="9.140625" style="135"/>
    <col min="9720" max="9720" width="5.28515625" style="135" customWidth="1"/>
    <col min="9721" max="9721" width="43.140625" style="135" customWidth="1"/>
    <col min="9722" max="9722" width="10.28515625" style="135" customWidth="1"/>
    <col min="9723" max="9723" width="10.5703125" style="135" customWidth="1"/>
    <col min="9724" max="9724" width="15" style="135" customWidth="1"/>
    <col min="9725" max="9725" width="12.42578125" style="135" customWidth="1"/>
    <col min="9726" max="9726" width="10.7109375" style="135" customWidth="1"/>
    <col min="9727" max="9727" width="11.28515625" style="135" customWidth="1"/>
    <col min="9728" max="9729" width="13.42578125" style="135" customWidth="1"/>
    <col min="9730" max="9731" width="9.140625" style="135"/>
    <col min="9732" max="9732" width="9.85546875" style="135" bestFit="1" customWidth="1"/>
    <col min="9733" max="9975" width="9.140625" style="135"/>
    <col min="9976" max="9976" width="5.28515625" style="135" customWidth="1"/>
    <col min="9977" max="9977" width="43.140625" style="135" customWidth="1"/>
    <col min="9978" max="9978" width="10.28515625" style="135" customWidth="1"/>
    <col min="9979" max="9979" width="10.5703125" style="135" customWidth="1"/>
    <col min="9980" max="9980" width="15" style="135" customWidth="1"/>
    <col min="9981" max="9981" width="12.42578125" style="135" customWidth="1"/>
    <col min="9982" max="9982" width="10.7109375" style="135" customWidth="1"/>
    <col min="9983" max="9983" width="11.28515625" style="135" customWidth="1"/>
    <col min="9984" max="9985" width="13.42578125" style="135" customWidth="1"/>
    <col min="9986" max="9987" width="9.140625" style="135"/>
    <col min="9988" max="9988" width="9.85546875" style="135" bestFit="1" customWidth="1"/>
    <col min="9989" max="10231" width="9.140625" style="135"/>
    <col min="10232" max="10232" width="5.28515625" style="135" customWidth="1"/>
    <col min="10233" max="10233" width="43.140625" style="135" customWidth="1"/>
    <col min="10234" max="10234" width="10.28515625" style="135" customWidth="1"/>
    <col min="10235" max="10235" width="10.5703125" style="135" customWidth="1"/>
    <col min="10236" max="10236" width="15" style="135" customWidth="1"/>
    <col min="10237" max="10237" width="12.42578125" style="135" customWidth="1"/>
    <col min="10238" max="10238" width="10.7109375" style="135" customWidth="1"/>
    <col min="10239" max="10239" width="11.28515625" style="135" customWidth="1"/>
    <col min="10240" max="10241" width="13.42578125" style="135" customWidth="1"/>
    <col min="10242" max="10243" width="9.140625" style="135"/>
    <col min="10244" max="10244" width="9.85546875" style="135" bestFit="1" customWidth="1"/>
    <col min="10245" max="10487" width="9.140625" style="135"/>
    <col min="10488" max="10488" width="5.28515625" style="135" customWidth="1"/>
    <col min="10489" max="10489" width="43.140625" style="135" customWidth="1"/>
    <col min="10490" max="10490" width="10.28515625" style="135" customWidth="1"/>
    <col min="10491" max="10491" width="10.5703125" style="135" customWidth="1"/>
    <col min="10492" max="10492" width="15" style="135" customWidth="1"/>
    <col min="10493" max="10493" width="12.42578125" style="135" customWidth="1"/>
    <col min="10494" max="10494" width="10.7109375" style="135" customWidth="1"/>
    <col min="10495" max="10495" width="11.28515625" style="135" customWidth="1"/>
    <col min="10496" max="10497" width="13.42578125" style="135" customWidth="1"/>
    <col min="10498" max="10499" width="9.140625" style="135"/>
    <col min="10500" max="10500" width="9.85546875" style="135" bestFit="1" customWidth="1"/>
    <col min="10501" max="10743" width="9.140625" style="135"/>
    <col min="10744" max="10744" width="5.28515625" style="135" customWidth="1"/>
    <col min="10745" max="10745" width="43.140625" style="135" customWidth="1"/>
    <col min="10746" max="10746" width="10.28515625" style="135" customWidth="1"/>
    <col min="10747" max="10747" width="10.5703125" style="135" customWidth="1"/>
    <col min="10748" max="10748" width="15" style="135" customWidth="1"/>
    <col min="10749" max="10749" width="12.42578125" style="135" customWidth="1"/>
    <col min="10750" max="10750" width="10.7109375" style="135" customWidth="1"/>
    <col min="10751" max="10751" width="11.28515625" style="135" customWidth="1"/>
    <col min="10752" max="10753" width="13.42578125" style="135" customWidth="1"/>
    <col min="10754" max="10755" width="9.140625" style="135"/>
    <col min="10756" max="10756" width="9.85546875" style="135" bestFit="1" customWidth="1"/>
    <col min="10757" max="10999" width="9.140625" style="135"/>
    <col min="11000" max="11000" width="5.28515625" style="135" customWidth="1"/>
    <col min="11001" max="11001" width="43.140625" style="135" customWidth="1"/>
    <col min="11002" max="11002" width="10.28515625" style="135" customWidth="1"/>
    <col min="11003" max="11003" width="10.5703125" style="135" customWidth="1"/>
    <col min="11004" max="11004" width="15" style="135" customWidth="1"/>
    <col min="11005" max="11005" width="12.42578125" style="135" customWidth="1"/>
    <col min="11006" max="11006" width="10.7109375" style="135" customWidth="1"/>
    <col min="11007" max="11007" width="11.28515625" style="135" customWidth="1"/>
    <col min="11008" max="11009" width="13.42578125" style="135" customWidth="1"/>
    <col min="11010" max="11011" width="9.140625" style="135"/>
    <col min="11012" max="11012" width="9.85546875" style="135" bestFit="1" customWidth="1"/>
    <col min="11013" max="11255" width="9.140625" style="135"/>
    <col min="11256" max="11256" width="5.28515625" style="135" customWidth="1"/>
    <col min="11257" max="11257" width="43.140625" style="135" customWidth="1"/>
    <col min="11258" max="11258" width="10.28515625" style="135" customWidth="1"/>
    <col min="11259" max="11259" width="10.5703125" style="135" customWidth="1"/>
    <col min="11260" max="11260" width="15" style="135" customWidth="1"/>
    <col min="11261" max="11261" width="12.42578125" style="135" customWidth="1"/>
    <col min="11262" max="11262" width="10.7109375" style="135" customWidth="1"/>
    <col min="11263" max="11263" width="11.28515625" style="135" customWidth="1"/>
    <col min="11264" max="11265" width="13.42578125" style="135" customWidth="1"/>
    <col min="11266" max="11267" width="9.140625" style="135"/>
    <col min="11268" max="11268" width="9.85546875" style="135" bestFit="1" customWidth="1"/>
    <col min="11269" max="11511" width="9.140625" style="135"/>
    <col min="11512" max="11512" width="5.28515625" style="135" customWidth="1"/>
    <col min="11513" max="11513" width="43.140625" style="135" customWidth="1"/>
    <col min="11514" max="11514" width="10.28515625" style="135" customWidth="1"/>
    <col min="11515" max="11515" width="10.5703125" style="135" customWidth="1"/>
    <col min="11516" max="11516" width="15" style="135" customWidth="1"/>
    <col min="11517" max="11517" width="12.42578125" style="135" customWidth="1"/>
    <col min="11518" max="11518" width="10.7109375" style="135" customWidth="1"/>
    <col min="11519" max="11519" width="11.28515625" style="135" customWidth="1"/>
    <col min="11520" max="11521" width="13.42578125" style="135" customWidth="1"/>
    <col min="11522" max="11523" width="9.140625" style="135"/>
    <col min="11524" max="11524" width="9.85546875" style="135" bestFit="1" customWidth="1"/>
    <col min="11525" max="11767" width="9.140625" style="135"/>
    <col min="11768" max="11768" width="5.28515625" style="135" customWidth="1"/>
    <col min="11769" max="11769" width="43.140625" style="135" customWidth="1"/>
    <col min="11770" max="11770" width="10.28515625" style="135" customWidth="1"/>
    <col min="11771" max="11771" width="10.5703125" style="135" customWidth="1"/>
    <col min="11772" max="11772" width="15" style="135" customWidth="1"/>
    <col min="11773" max="11773" width="12.42578125" style="135" customWidth="1"/>
    <col min="11774" max="11774" width="10.7109375" style="135" customWidth="1"/>
    <col min="11775" max="11775" width="11.28515625" style="135" customWidth="1"/>
    <col min="11776" max="11777" width="13.42578125" style="135" customWidth="1"/>
    <col min="11778" max="11779" width="9.140625" style="135"/>
    <col min="11780" max="11780" width="9.85546875" style="135" bestFit="1" customWidth="1"/>
    <col min="11781" max="12023" width="9.140625" style="135"/>
    <col min="12024" max="12024" width="5.28515625" style="135" customWidth="1"/>
    <col min="12025" max="12025" width="43.140625" style="135" customWidth="1"/>
    <col min="12026" max="12026" width="10.28515625" style="135" customWidth="1"/>
    <col min="12027" max="12027" width="10.5703125" style="135" customWidth="1"/>
    <col min="12028" max="12028" width="15" style="135" customWidth="1"/>
    <col min="12029" max="12029" width="12.42578125" style="135" customWidth="1"/>
    <col min="12030" max="12030" width="10.7109375" style="135" customWidth="1"/>
    <col min="12031" max="12031" width="11.28515625" style="135" customWidth="1"/>
    <col min="12032" max="12033" width="13.42578125" style="135" customWidth="1"/>
    <col min="12034" max="12035" width="9.140625" style="135"/>
    <col min="12036" max="12036" width="9.85546875" style="135" bestFit="1" customWidth="1"/>
    <col min="12037" max="12279" width="9.140625" style="135"/>
    <col min="12280" max="12280" width="5.28515625" style="135" customWidth="1"/>
    <col min="12281" max="12281" width="43.140625" style="135" customWidth="1"/>
    <col min="12282" max="12282" width="10.28515625" style="135" customWidth="1"/>
    <col min="12283" max="12283" width="10.5703125" style="135" customWidth="1"/>
    <col min="12284" max="12284" width="15" style="135" customWidth="1"/>
    <col min="12285" max="12285" width="12.42578125" style="135" customWidth="1"/>
    <col min="12286" max="12286" width="10.7109375" style="135" customWidth="1"/>
    <col min="12287" max="12287" width="11.28515625" style="135" customWidth="1"/>
    <col min="12288" max="12289" width="13.42578125" style="135" customWidth="1"/>
    <col min="12290" max="12291" width="9.140625" style="135"/>
    <col min="12292" max="12292" width="9.85546875" style="135" bestFit="1" customWidth="1"/>
    <col min="12293" max="12535" width="9.140625" style="135"/>
    <col min="12536" max="12536" width="5.28515625" style="135" customWidth="1"/>
    <col min="12537" max="12537" width="43.140625" style="135" customWidth="1"/>
    <col min="12538" max="12538" width="10.28515625" style="135" customWidth="1"/>
    <col min="12539" max="12539" width="10.5703125" style="135" customWidth="1"/>
    <col min="12540" max="12540" width="15" style="135" customWidth="1"/>
    <col min="12541" max="12541" width="12.42578125" style="135" customWidth="1"/>
    <col min="12542" max="12542" width="10.7109375" style="135" customWidth="1"/>
    <col min="12543" max="12543" width="11.28515625" style="135" customWidth="1"/>
    <col min="12544" max="12545" width="13.42578125" style="135" customWidth="1"/>
    <col min="12546" max="12547" width="9.140625" style="135"/>
    <col min="12548" max="12548" width="9.85546875" style="135" bestFit="1" customWidth="1"/>
    <col min="12549" max="12791" width="9.140625" style="135"/>
    <col min="12792" max="12792" width="5.28515625" style="135" customWidth="1"/>
    <col min="12793" max="12793" width="43.140625" style="135" customWidth="1"/>
    <col min="12794" max="12794" width="10.28515625" style="135" customWidth="1"/>
    <col min="12795" max="12795" width="10.5703125" style="135" customWidth="1"/>
    <col min="12796" max="12796" width="15" style="135" customWidth="1"/>
    <col min="12797" max="12797" width="12.42578125" style="135" customWidth="1"/>
    <col min="12798" max="12798" width="10.7109375" style="135" customWidth="1"/>
    <col min="12799" max="12799" width="11.28515625" style="135" customWidth="1"/>
    <col min="12800" max="12801" width="13.42578125" style="135" customWidth="1"/>
    <col min="12802" max="12803" width="9.140625" style="135"/>
    <col min="12804" max="12804" width="9.85546875" style="135" bestFit="1" customWidth="1"/>
    <col min="12805" max="13047" width="9.140625" style="135"/>
    <col min="13048" max="13048" width="5.28515625" style="135" customWidth="1"/>
    <col min="13049" max="13049" width="43.140625" style="135" customWidth="1"/>
    <col min="13050" max="13050" width="10.28515625" style="135" customWidth="1"/>
    <col min="13051" max="13051" width="10.5703125" style="135" customWidth="1"/>
    <col min="13052" max="13052" width="15" style="135" customWidth="1"/>
    <col min="13053" max="13053" width="12.42578125" style="135" customWidth="1"/>
    <col min="13054" max="13054" width="10.7109375" style="135" customWidth="1"/>
    <col min="13055" max="13055" width="11.28515625" style="135" customWidth="1"/>
    <col min="13056" max="13057" width="13.42578125" style="135" customWidth="1"/>
    <col min="13058" max="13059" width="9.140625" style="135"/>
    <col min="13060" max="13060" width="9.85546875" style="135" bestFit="1" customWidth="1"/>
    <col min="13061" max="13303" width="9.140625" style="135"/>
    <col min="13304" max="13304" width="5.28515625" style="135" customWidth="1"/>
    <col min="13305" max="13305" width="43.140625" style="135" customWidth="1"/>
    <col min="13306" max="13306" width="10.28515625" style="135" customWidth="1"/>
    <col min="13307" max="13307" width="10.5703125" style="135" customWidth="1"/>
    <col min="13308" max="13308" width="15" style="135" customWidth="1"/>
    <col min="13309" max="13309" width="12.42578125" style="135" customWidth="1"/>
    <col min="13310" max="13310" width="10.7109375" style="135" customWidth="1"/>
    <col min="13311" max="13311" width="11.28515625" style="135" customWidth="1"/>
    <col min="13312" max="13313" width="13.42578125" style="135" customWidth="1"/>
    <col min="13314" max="13315" width="9.140625" style="135"/>
    <col min="13316" max="13316" width="9.85546875" style="135" bestFit="1" customWidth="1"/>
    <col min="13317" max="13559" width="9.140625" style="135"/>
    <col min="13560" max="13560" width="5.28515625" style="135" customWidth="1"/>
    <col min="13561" max="13561" width="43.140625" style="135" customWidth="1"/>
    <col min="13562" max="13562" width="10.28515625" style="135" customWidth="1"/>
    <col min="13563" max="13563" width="10.5703125" style="135" customWidth="1"/>
    <col min="13564" max="13564" width="15" style="135" customWidth="1"/>
    <col min="13565" max="13565" width="12.42578125" style="135" customWidth="1"/>
    <col min="13566" max="13566" width="10.7109375" style="135" customWidth="1"/>
    <col min="13567" max="13567" width="11.28515625" style="135" customWidth="1"/>
    <col min="13568" max="13569" width="13.42578125" style="135" customWidth="1"/>
    <col min="13570" max="13571" width="9.140625" style="135"/>
    <col min="13572" max="13572" width="9.85546875" style="135" bestFit="1" customWidth="1"/>
    <col min="13573" max="13815" width="9.140625" style="135"/>
    <col min="13816" max="13816" width="5.28515625" style="135" customWidth="1"/>
    <col min="13817" max="13817" width="43.140625" style="135" customWidth="1"/>
    <col min="13818" max="13818" width="10.28515625" style="135" customWidth="1"/>
    <col min="13819" max="13819" width="10.5703125" style="135" customWidth="1"/>
    <col min="13820" max="13820" width="15" style="135" customWidth="1"/>
    <col min="13821" max="13821" width="12.42578125" style="135" customWidth="1"/>
    <col min="13822" max="13822" width="10.7109375" style="135" customWidth="1"/>
    <col min="13823" max="13823" width="11.28515625" style="135" customWidth="1"/>
    <col min="13824" max="13825" width="13.42578125" style="135" customWidth="1"/>
    <col min="13826" max="13827" width="9.140625" style="135"/>
    <col min="13828" max="13828" width="9.85546875" style="135" bestFit="1" customWidth="1"/>
    <col min="13829" max="14071" width="9.140625" style="135"/>
    <col min="14072" max="14072" width="5.28515625" style="135" customWidth="1"/>
    <col min="14073" max="14073" width="43.140625" style="135" customWidth="1"/>
    <col min="14074" max="14074" width="10.28515625" style="135" customWidth="1"/>
    <col min="14075" max="14075" width="10.5703125" style="135" customWidth="1"/>
    <col min="14076" max="14076" width="15" style="135" customWidth="1"/>
    <col min="14077" max="14077" width="12.42578125" style="135" customWidth="1"/>
    <col min="14078" max="14078" width="10.7109375" style="135" customWidth="1"/>
    <col min="14079" max="14079" width="11.28515625" style="135" customWidth="1"/>
    <col min="14080" max="14081" width="13.42578125" style="135" customWidth="1"/>
    <col min="14082" max="14083" width="9.140625" style="135"/>
    <col min="14084" max="14084" width="9.85546875" style="135" bestFit="1" customWidth="1"/>
    <col min="14085" max="14327" width="9.140625" style="135"/>
    <col min="14328" max="14328" width="5.28515625" style="135" customWidth="1"/>
    <col min="14329" max="14329" width="43.140625" style="135" customWidth="1"/>
    <col min="14330" max="14330" width="10.28515625" style="135" customWidth="1"/>
    <col min="14331" max="14331" width="10.5703125" style="135" customWidth="1"/>
    <col min="14332" max="14332" width="15" style="135" customWidth="1"/>
    <col min="14333" max="14333" width="12.42578125" style="135" customWidth="1"/>
    <col min="14334" max="14334" width="10.7109375" style="135" customWidth="1"/>
    <col min="14335" max="14335" width="11.28515625" style="135" customWidth="1"/>
    <col min="14336" max="14337" width="13.42578125" style="135" customWidth="1"/>
    <col min="14338" max="14339" width="9.140625" style="135"/>
    <col min="14340" max="14340" width="9.85546875" style="135" bestFit="1" customWidth="1"/>
    <col min="14341" max="14583" width="9.140625" style="135"/>
    <col min="14584" max="14584" width="5.28515625" style="135" customWidth="1"/>
    <col min="14585" max="14585" width="43.140625" style="135" customWidth="1"/>
    <col min="14586" max="14586" width="10.28515625" style="135" customWidth="1"/>
    <col min="14587" max="14587" width="10.5703125" style="135" customWidth="1"/>
    <col min="14588" max="14588" width="15" style="135" customWidth="1"/>
    <col min="14589" max="14589" width="12.42578125" style="135" customWidth="1"/>
    <col min="14590" max="14590" width="10.7109375" style="135" customWidth="1"/>
    <col min="14591" max="14591" width="11.28515625" style="135" customWidth="1"/>
    <col min="14592" max="14593" width="13.42578125" style="135" customWidth="1"/>
    <col min="14594" max="14595" width="9.140625" style="135"/>
    <col min="14596" max="14596" width="9.85546875" style="135" bestFit="1" customWidth="1"/>
    <col min="14597" max="14839" width="9.140625" style="135"/>
    <col min="14840" max="14840" width="5.28515625" style="135" customWidth="1"/>
    <col min="14841" max="14841" width="43.140625" style="135" customWidth="1"/>
    <col min="14842" max="14842" width="10.28515625" style="135" customWidth="1"/>
    <col min="14843" max="14843" width="10.5703125" style="135" customWidth="1"/>
    <col min="14844" max="14844" width="15" style="135" customWidth="1"/>
    <col min="14845" max="14845" width="12.42578125" style="135" customWidth="1"/>
    <col min="14846" max="14846" width="10.7109375" style="135" customWidth="1"/>
    <col min="14847" max="14847" width="11.28515625" style="135" customWidth="1"/>
    <col min="14848" max="14849" width="13.42578125" style="135" customWidth="1"/>
    <col min="14850" max="14851" width="9.140625" style="135"/>
    <col min="14852" max="14852" width="9.85546875" style="135" bestFit="1" customWidth="1"/>
    <col min="14853" max="15095" width="9.140625" style="135"/>
    <col min="15096" max="15096" width="5.28515625" style="135" customWidth="1"/>
    <col min="15097" max="15097" width="43.140625" style="135" customWidth="1"/>
    <col min="15098" max="15098" width="10.28515625" style="135" customWidth="1"/>
    <col min="15099" max="15099" width="10.5703125" style="135" customWidth="1"/>
    <col min="15100" max="15100" width="15" style="135" customWidth="1"/>
    <col min="15101" max="15101" width="12.42578125" style="135" customWidth="1"/>
    <col min="15102" max="15102" width="10.7109375" style="135" customWidth="1"/>
    <col min="15103" max="15103" width="11.28515625" style="135" customWidth="1"/>
    <col min="15104" max="15105" width="13.42578125" style="135" customWidth="1"/>
    <col min="15106" max="15107" width="9.140625" style="135"/>
    <col min="15108" max="15108" width="9.85546875" style="135" bestFit="1" customWidth="1"/>
    <col min="15109" max="15351" width="9.140625" style="135"/>
    <col min="15352" max="15352" width="5.28515625" style="135" customWidth="1"/>
    <col min="15353" max="15353" width="43.140625" style="135" customWidth="1"/>
    <col min="15354" max="15354" width="10.28515625" style="135" customWidth="1"/>
    <col min="15355" max="15355" width="10.5703125" style="135" customWidth="1"/>
    <col min="15356" max="15356" width="15" style="135" customWidth="1"/>
    <col min="15357" max="15357" width="12.42578125" style="135" customWidth="1"/>
    <col min="15358" max="15358" width="10.7109375" style="135" customWidth="1"/>
    <col min="15359" max="15359" width="11.28515625" style="135" customWidth="1"/>
    <col min="15360" max="15361" width="13.42578125" style="135" customWidth="1"/>
    <col min="15362" max="15363" width="9.140625" style="135"/>
    <col min="15364" max="15364" width="9.85546875" style="135" bestFit="1" customWidth="1"/>
    <col min="15365" max="15607" width="9.140625" style="135"/>
    <col min="15608" max="15608" width="5.28515625" style="135" customWidth="1"/>
    <col min="15609" max="15609" width="43.140625" style="135" customWidth="1"/>
    <col min="15610" max="15610" width="10.28515625" style="135" customWidth="1"/>
    <col min="15611" max="15611" width="10.5703125" style="135" customWidth="1"/>
    <col min="15612" max="15612" width="15" style="135" customWidth="1"/>
    <col min="15613" max="15613" width="12.42578125" style="135" customWidth="1"/>
    <col min="15614" max="15614" width="10.7109375" style="135" customWidth="1"/>
    <col min="15615" max="15615" width="11.28515625" style="135" customWidth="1"/>
    <col min="15616" max="15617" width="13.42578125" style="135" customWidth="1"/>
    <col min="15618" max="15619" width="9.140625" style="135"/>
    <col min="15620" max="15620" width="9.85546875" style="135" bestFit="1" customWidth="1"/>
    <col min="15621" max="15863" width="9.140625" style="135"/>
    <col min="15864" max="15864" width="5.28515625" style="135" customWidth="1"/>
    <col min="15865" max="15865" width="43.140625" style="135" customWidth="1"/>
    <col min="15866" max="15866" width="10.28515625" style="135" customWidth="1"/>
    <col min="15867" max="15867" width="10.5703125" style="135" customWidth="1"/>
    <col min="15868" max="15868" width="15" style="135" customWidth="1"/>
    <col min="15869" max="15869" width="12.42578125" style="135" customWidth="1"/>
    <col min="15870" max="15870" width="10.7109375" style="135" customWidth="1"/>
    <col min="15871" max="15871" width="11.28515625" style="135" customWidth="1"/>
    <col min="15872" max="15873" width="13.42578125" style="135" customWidth="1"/>
    <col min="15874" max="15875" width="9.140625" style="135"/>
    <col min="15876" max="15876" width="9.85546875" style="135" bestFit="1" customWidth="1"/>
    <col min="15877" max="16119" width="9.140625" style="135"/>
    <col min="16120" max="16120" width="5.28515625" style="135" customWidth="1"/>
    <col min="16121" max="16121" width="43.140625" style="135" customWidth="1"/>
    <col min="16122" max="16122" width="10.28515625" style="135" customWidth="1"/>
    <col min="16123" max="16123" width="10.5703125" style="135" customWidth="1"/>
    <col min="16124" max="16124" width="15" style="135" customWidth="1"/>
    <col min="16125" max="16125" width="12.42578125" style="135" customWidth="1"/>
    <col min="16126" max="16126" width="10.7109375" style="135" customWidth="1"/>
    <col min="16127" max="16127" width="11.28515625" style="135" customWidth="1"/>
    <col min="16128" max="16129" width="13.42578125" style="135" customWidth="1"/>
    <col min="16130" max="16131" width="9.140625" style="135"/>
    <col min="16132" max="16132" width="9.85546875" style="135" bestFit="1" customWidth="1"/>
    <col min="16133" max="16384" width="9.140625" style="135"/>
  </cols>
  <sheetData>
    <row r="1" spans="1:9" ht="49.5" customHeight="1">
      <c r="A1" s="809" t="s">
        <v>368</v>
      </c>
      <c r="B1" s="809"/>
      <c r="C1" s="809"/>
      <c r="D1" s="809"/>
      <c r="E1" s="809"/>
      <c r="F1" s="809"/>
      <c r="G1" s="809"/>
      <c r="H1" s="810" t="s">
        <v>369</v>
      </c>
      <c r="I1" s="810"/>
    </row>
    <row r="2" spans="1:9" ht="17.25" customHeight="1">
      <c r="B2" s="136"/>
      <c r="C2" s="136"/>
      <c r="D2" s="136"/>
      <c r="E2" s="136"/>
      <c r="F2" s="136"/>
      <c r="G2" s="136"/>
      <c r="H2" s="137"/>
      <c r="I2" s="137" t="s">
        <v>370</v>
      </c>
    </row>
    <row r="3" spans="1:9" ht="117.75" customHeight="1">
      <c r="A3" s="138" t="s">
        <v>94</v>
      </c>
      <c r="B3" s="139" t="s">
        <v>371</v>
      </c>
      <c r="C3" s="140" t="s">
        <v>372</v>
      </c>
      <c r="D3" s="140" t="s">
        <v>373</v>
      </c>
      <c r="E3" s="140" t="s">
        <v>374</v>
      </c>
      <c r="F3" s="140" t="s">
        <v>375</v>
      </c>
      <c r="G3" s="141" t="s">
        <v>376</v>
      </c>
      <c r="H3" s="140" t="s">
        <v>377</v>
      </c>
      <c r="I3" s="140" t="s">
        <v>378</v>
      </c>
    </row>
    <row r="4" spans="1:9" ht="15.75" customHeight="1">
      <c r="A4" s="142">
        <v>1</v>
      </c>
      <c r="B4" s="143">
        <v>2</v>
      </c>
      <c r="C4" s="144">
        <v>3</v>
      </c>
      <c r="D4" s="145">
        <v>4</v>
      </c>
      <c r="E4" s="145">
        <v>5</v>
      </c>
      <c r="F4" s="145">
        <v>6</v>
      </c>
      <c r="G4" s="145">
        <v>7</v>
      </c>
      <c r="H4" s="146">
        <v>8</v>
      </c>
      <c r="I4" s="147">
        <v>9</v>
      </c>
    </row>
    <row r="5" spans="1:9" ht="24" customHeight="1">
      <c r="A5" s="148">
        <v>2</v>
      </c>
      <c r="B5" s="149" t="s">
        <v>379</v>
      </c>
      <c r="C5" s="150">
        <f t="shared" ref="C5:H5" si="0">SUM(C6:C26)</f>
        <v>43569.7</v>
      </c>
      <c r="D5" s="150">
        <f t="shared" si="0"/>
        <v>2257.8000000000002</v>
      </c>
      <c r="E5" s="150">
        <f t="shared" si="0"/>
        <v>45827.5</v>
      </c>
      <c r="F5" s="150">
        <f>SUM(F6:F26)</f>
        <v>45393.993000000009</v>
      </c>
      <c r="G5" s="150">
        <f>SUM(G6:G26)</f>
        <v>49066.8</v>
      </c>
      <c r="H5" s="150">
        <f t="shared" si="0"/>
        <v>5497.0999999999995</v>
      </c>
      <c r="I5" s="151">
        <f>SUM((G5/C5*100)-100)</f>
        <v>12.616795617137626</v>
      </c>
    </row>
    <row r="6" spans="1:9" ht="43.5" customHeight="1">
      <c r="A6" s="152">
        <v>3</v>
      </c>
      <c r="B6" s="153" t="s">
        <v>460</v>
      </c>
      <c r="C6" s="154">
        <v>37545</v>
      </c>
      <c r="D6" s="155">
        <f>E6-C6</f>
        <v>1340</v>
      </c>
      <c r="E6" s="155">
        <v>38885</v>
      </c>
      <c r="F6" s="155">
        <v>38571.160000000003</v>
      </c>
      <c r="G6" s="156">
        <v>41589</v>
      </c>
      <c r="H6" s="155">
        <f>SUM(G6-C6)</f>
        <v>4044</v>
      </c>
      <c r="I6" s="155">
        <f>SUM((G6/C6*100)-100)</f>
        <v>10.771074710347577</v>
      </c>
    </row>
    <row r="7" spans="1:9" ht="27.75" customHeight="1">
      <c r="A7" s="152">
        <v>4</v>
      </c>
      <c r="B7" s="153" t="s">
        <v>380</v>
      </c>
      <c r="C7" s="154">
        <v>80</v>
      </c>
      <c r="D7" s="155">
        <f t="shared" ref="D7:D26" si="1">E7-C7</f>
        <v>0</v>
      </c>
      <c r="E7" s="155">
        <v>80</v>
      </c>
      <c r="F7" s="155">
        <v>78.415999999999997</v>
      </c>
      <c r="G7" s="157">
        <v>80</v>
      </c>
      <c r="H7" s="155">
        <f t="shared" ref="H7:H39" si="2">SUM(G7-C7)</f>
        <v>0</v>
      </c>
      <c r="I7" s="155">
        <f t="shared" ref="I7:I40" si="3">SUM((G7/C7*100)-100)</f>
        <v>0</v>
      </c>
    </row>
    <row r="8" spans="1:9" ht="17.25" customHeight="1">
      <c r="A8" s="152">
        <v>5</v>
      </c>
      <c r="B8" s="153" t="s">
        <v>381</v>
      </c>
      <c r="C8" s="154">
        <v>650</v>
      </c>
      <c r="D8" s="155">
        <f t="shared" si="1"/>
        <v>50</v>
      </c>
      <c r="E8" s="155">
        <v>700</v>
      </c>
      <c r="F8" s="155">
        <v>693.36400000000003</v>
      </c>
      <c r="G8" s="158">
        <v>700</v>
      </c>
      <c r="H8" s="155">
        <f t="shared" si="2"/>
        <v>50</v>
      </c>
      <c r="I8" s="155">
        <f t="shared" si="3"/>
        <v>7.6923076923076934</v>
      </c>
    </row>
    <row r="9" spans="1:9" ht="13.5" customHeight="1">
      <c r="A9" s="152">
        <v>6</v>
      </c>
      <c r="B9" s="153" t="s">
        <v>382</v>
      </c>
      <c r="C9" s="154">
        <v>15</v>
      </c>
      <c r="D9" s="155">
        <f t="shared" si="1"/>
        <v>0</v>
      </c>
      <c r="E9" s="155">
        <v>15</v>
      </c>
      <c r="F9" s="155">
        <v>21.316999999999997</v>
      </c>
      <c r="G9" s="158">
        <v>20</v>
      </c>
      <c r="H9" s="155">
        <f t="shared" si="2"/>
        <v>5</v>
      </c>
      <c r="I9" s="155">
        <f t="shared" si="3"/>
        <v>33.333333333333314</v>
      </c>
    </row>
    <row r="10" spans="1:9" ht="14.25" customHeight="1">
      <c r="A10" s="152">
        <v>7</v>
      </c>
      <c r="B10" s="153" t="s">
        <v>383</v>
      </c>
      <c r="C10" s="154">
        <v>620</v>
      </c>
      <c r="D10" s="155">
        <f t="shared" si="1"/>
        <v>70</v>
      </c>
      <c r="E10" s="155">
        <v>690</v>
      </c>
      <c r="F10" s="155">
        <v>688.94100000000003</v>
      </c>
      <c r="G10" s="158">
        <v>1000</v>
      </c>
      <c r="H10" s="155">
        <f t="shared" si="2"/>
        <v>380</v>
      </c>
      <c r="I10" s="155">
        <f t="shared" si="3"/>
        <v>61.290322580645153</v>
      </c>
    </row>
    <row r="11" spans="1:9" ht="14.25" customHeight="1">
      <c r="A11" s="152">
        <v>8</v>
      </c>
      <c r="B11" s="153" t="s">
        <v>384</v>
      </c>
      <c r="C11" s="154">
        <v>135</v>
      </c>
      <c r="D11" s="155">
        <f t="shared" si="1"/>
        <v>7</v>
      </c>
      <c r="E11" s="155">
        <v>142</v>
      </c>
      <c r="F11" s="155">
        <v>146.482</v>
      </c>
      <c r="G11" s="158">
        <v>149</v>
      </c>
      <c r="H11" s="155">
        <f t="shared" si="2"/>
        <v>14</v>
      </c>
      <c r="I11" s="155">
        <f t="shared" si="3"/>
        <v>10.370370370370367</v>
      </c>
    </row>
    <row r="12" spans="1:9" ht="15" customHeight="1">
      <c r="A12" s="152">
        <v>9</v>
      </c>
      <c r="B12" s="153" t="s">
        <v>385</v>
      </c>
      <c r="C12" s="154">
        <v>65</v>
      </c>
      <c r="D12" s="155">
        <f t="shared" si="1"/>
        <v>10</v>
      </c>
      <c r="E12" s="155">
        <v>75</v>
      </c>
      <c r="F12" s="155">
        <v>75.64</v>
      </c>
      <c r="G12" s="158">
        <v>35</v>
      </c>
      <c r="H12" s="155">
        <f t="shared" si="2"/>
        <v>-30</v>
      </c>
      <c r="I12" s="155">
        <f t="shared" si="3"/>
        <v>-46.153846153846153</v>
      </c>
    </row>
    <row r="13" spans="1:9" ht="15" customHeight="1">
      <c r="A13" s="152">
        <v>10</v>
      </c>
      <c r="B13" s="153" t="s">
        <v>386</v>
      </c>
      <c r="C13" s="154">
        <v>260</v>
      </c>
      <c r="D13" s="155">
        <f t="shared" si="1"/>
        <v>14.600000000000023</v>
      </c>
      <c r="E13" s="155">
        <v>274.60000000000002</v>
      </c>
      <c r="F13" s="155">
        <v>276.762</v>
      </c>
      <c r="G13" s="158">
        <v>280</v>
      </c>
      <c r="H13" s="155">
        <f t="shared" si="2"/>
        <v>20</v>
      </c>
      <c r="I13" s="155">
        <f t="shared" si="3"/>
        <v>7.6923076923076934</v>
      </c>
    </row>
    <row r="14" spans="1:9" ht="14.25" customHeight="1">
      <c r="A14" s="152">
        <v>11</v>
      </c>
      <c r="B14" s="153" t="s">
        <v>387</v>
      </c>
      <c r="C14" s="154">
        <v>32</v>
      </c>
      <c r="D14" s="155">
        <f t="shared" si="1"/>
        <v>7</v>
      </c>
      <c r="E14" s="155">
        <v>39</v>
      </c>
      <c r="F14" s="155">
        <v>38.966000000000001</v>
      </c>
      <c r="G14" s="158">
        <v>40</v>
      </c>
      <c r="H14" s="155">
        <f t="shared" si="2"/>
        <v>8</v>
      </c>
      <c r="I14" s="155">
        <f t="shared" si="3"/>
        <v>25</v>
      </c>
    </row>
    <row r="15" spans="1:9" ht="16.149999999999999" customHeight="1">
      <c r="A15" s="152">
        <v>12</v>
      </c>
      <c r="B15" s="153" t="s">
        <v>388</v>
      </c>
      <c r="C15" s="154">
        <v>40</v>
      </c>
      <c r="D15" s="155">
        <f t="shared" si="1"/>
        <v>29.799999999999997</v>
      </c>
      <c r="E15" s="155">
        <v>69.8</v>
      </c>
      <c r="F15" s="155">
        <v>81.001000000000005</v>
      </c>
      <c r="G15" s="158">
        <v>60</v>
      </c>
      <c r="H15" s="155">
        <f t="shared" si="2"/>
        <v>20</v>
      </c>
      <c r="I15" s="155">
        <f t="shared" si="3"/>
        <v>50</v>
      </c>
    </row>
    <row r="16" spans="1:9" ht="15" customHeight="1">
      <c r="A16" s="152">
        <v>13</v>
      </c>
      <c r="B16" s="153" t="s">
        <v>389</v>
      </c>
      <c r="C16" s="154">
        <v>1126.7</v>
      </c>
      <c r="D16" s="155">
        <f t="shared" si="1"/>
        <v>200.09999999999991</v>
      </c>
      <c r="E16" s="155">
        <v>1326.8</v>
      </c>
      <c r="F16" s="155">
        <v>1324.0090000000002</v>
      </c>
      <c r="G16" s="158">
        <v>1378.2</v>
      </c>
      <c r="H16" s="155">
        <f t="shared" si="2"/>
        <v>251.5</v>
      </c>
      <c r="I16" s="155">
        <f t="shared" si="3"/>
        <v>22.321824798082886</v>
      </c>
    </row>
    <row r="17" spans="1:11" ht="27" customHeight="1">
      <c r="A17" s="152">
        <v>14</v>
      </c>
      <c r="B17" s="153" t="s">
        <v>390</v>
      </c>
      <c r="C17" s="154">
        <v>349.6</v>
      </c>
      <c r="D17" s="155">
        <f t="shared" si="1"/>
        <v>41.600000000000023</v>
      </c>
      <c r="E17" s="155">
        <v>391.20000000000005</v>
      </c>
      <c r="F17" s="155">
        <v>381.904</v>
      </c>
      <c r="G17" s="158">
        <v>382.3</v>
      </c>
      <c r="H17" s="155">
        <f t="shared" si="2"/>
        <v>32.699999999999989</v>
      </c>
      <c r="I17" s="155">
        <f t="shared" si="3"/>
        <v>9.3535469107551421</v>
      </c>
    </row>
    <row r="18" spans="1:11" ht="27.75" customHeight="1">
      <c r="A18" s="152">
        <v>15</v>
      </c>
      <c r="B18" s="153" t="s">
        <v>391</v>
      </c>
      <c r="C18" s="154">
        <v>981.4</v>
      </c>
      <c r="D18" s="155">
        <f t="shared" si="1"/>
        <v>-55.700000000000045</v>
      </c>
      <c r="E18" s="155">
        <v>925.69999999999993</v>
      </c>
      <c r="F18" s="155">
        <v>888.70500000000027</v>
      </c>
      <c r="G18" s="158">
        <v>928.3</v>
      </c>
      <c r="H18" s="155">
        <f t="shared" si="2"/>
        <v>-53.100000000000023</v>
      </c>
      <c r="I18" s="155">
        <f t="shared" si="3"/>
        <v>-5.4106378642755288</v>
      </c>
    </row>
    <row r="19" spans="1:11" ht="18.75" customHeight="1">
      <c r="A19" s="152">
        <v>16</v>
      </c>
      <c r="B19" s="153" t="s">
        <v>392</v>
      </c>
      <c r="C19" s="154">
        <v>60</v>
      </c>
      <c r="D19" s="155">
        <f t="shared" si="1"/>
        <v>0</v>
      </c>
      <c r="E19" s="155">
        <v>60</v>
      </c>
      <c r="F19" s="155">
        <v>66.658000000000001</v>
      </c>
      <c r="G19" s="158">
        <v>60</v>
      </c>
      <c r="H19" s="155">
        <f t="shared" si="2"/>
        <v>0</v>
      </c>
      <c r="I19" s="155">
        <f t="shared" si="3"/>
        <v>0</v>
      </c>
    </row>
    <row r="20" spans="1:11">
      <c r="A20" s="152">
        <v>17</v>
      </c>
      <c r="B20" s="153" t="s">
        <v>509</v>
      </c>
      <c r="C20" s="154">
        <v>50</v>
      </c>
      <c r="D20" s="155">
        <f t="shared" si="1"/>
        <v>25</v>
      </c>
      <c r="E20" s="155">
        <v>75</v>
      </c>
      <c r="F20" s="155">
        <v>73.090999999999994</v>
      </c>
      <c r="G20" s="158">
        <v>60</v>
      </c>
      <c r="H20" s="155">
        <f t="shared" si="2"/>
        <v>10</v>
      </c>
      <c r="I20" s="155">
        <f t="shared" si="3"/>
        <v>20</v>
      </c>
    </row>
    <row r="21" spans="1:11" ht="14.45" customHeight="1">
      <c r="A21" s="152">
        <v>18</v>
      </c>
      <c r="B21" s="153" t="s">
        <v>393</v>
      </c>
      <c r="C21" s="154">
        <v>1400</v>
      </c>
      <c r="D21" s="155">
        <f t="shared" si="1"/>
        <v>355.40000000000009</v>
      </c>
      <c r="E21" s="155">
        <v>1755.4</v>
      </c>
      <c r="F21" s="155">
        <v>1646.2899999999997</v>
      </c>
      <c r="G21" s="158">
        <v>1920</v>
      </c>
      <c r="H21" s="155">
        <f t="shared" si="2"/>
        <v>520</v>
      </c>
      <c r="I21" s="155">
        <f t="shared" si="3"/>
        <v>37.142857142857139</v>
      </c>
    </row>
    <row r="22" spans="1:11" ht="14.45" customHeight="1">
      <c r="A22" s="152">
        <v>19</v>
      </c>
      <c r="B22" s="159" t="s">
        <v>394</v>
      </c>
      <c r="C22" s="154"/>
      <c r="D22" s="155"/>
      <c r="E22" s="155"/>
      <c r="G22" s="158">
        <v>180</v>
      </c>
      <c r="H22" s="155">
        <f t="shared" ref="H22" si="4">SUM(G22-C22)</f>
        <v>180</v>
      </c>
      <c r="I22" s="155"/>
    </row>
    <row r="23" spans="1:11" ht="13.9" customHeight="1">
      <c r="A23" s="152">
        <v>20</v>
      </c>
      <c r="B23" s="153" t="s">
        <v>395</v>
      </c>
      <c r="C23" s="154">
        <v>60</v>
      </c>
      <c r="D23" s="155">
        <f t="shared" si="1"/>
        <v>0</v>
      </c>
      <c r="E23" s="155">
        <v>60</v>
      </c>
      <c r="F23" s="155">
        <v>52.652999999999999</v>
      </c>
      <c r="G23" s="158">
        <v>60</v>
      </c>
      <c r="H23" s="155">
        <f t="shared" si="2"/>
        <v>0</v>
      </c>
      <c r="I23" s="155">
        <f t="shared" si="3"/>
        <v>0</v>
      </c>
    </row>
    <row r="24" spans="1:11" ht="15.6" customHeight="1">
      <c r="A24" s="152">
        <v>21</v>
      </c>
      <c r="B24" s="153" t="s">
        <v>396</v>
      </c>
      <c r="C24" s="154">
        <v>50</v>
      </c>
      <c r="D24" s="155">
        <f t="shared" si="1"/>
        <v>83.4</v>
      </c>
      <c r="E24" s="155">
        <v>133.4</v>
      </c>
      <c r="F24" s="155">
        <v>32.021999999999998</v>
      </c>
      <c r="G24" s="158">
        <v>50</v>
      </c>
      <c r="H24" s="155">
        <f t="shared" si="2"/>
        <v>0</v>
      </c>
      <c r="I24" s="155">
        <f t="shared" si="3"/>
        <v>0</v>
      </c>
    </row>
    <row r="25" spans="1:11" ht="30" customHeight="1">
      <c r="A25" s="152">
        <v>22</v>
      </c>
      <c r="B25" s="153" t="s">
        <v>397</v>
      </c>
      <c r="C25" s="154">
        <v>20</v>
      </c>
      <c r="D25" s="155">
        <f t="shared" si="1"/>
        <v>28.6</v>
      </c>
      <c r="E25" s="155">
        <v>48.6</v>
      </c>
      <c r="F25" s="155">
        <v>150.642</v>
      </c>
      <c r="G25" s="158">
        <v>55</v>
      </c>
      <c r="H25" s="155">
        <f t="shared" si="2"/>
        <v>35</v>
      </c>
      <c r="I25" s="155">
        <f t="shared" si="3"/>
        <v>175</v>
      </c>
    </row>
    <row r="26" spans="1:11" ht="30.75" customHeight="1">
      <c r="A26" s="152">
        <v>23</v>
      </c>
      <c r="B26" s="153" t="s">
        <v>398</v>
      </c>
      <c r="C26" s="154">
        <v>30</v>
      </c>
      <c r="D26" s="155">
        <f t="shared" si="1"/>
        <v>51</v>
      </c>
      <c r="E26" s="155">
        <v>81</v>
      </c>
      <c r="F26" s="155">
        <v>105.97000000000001</v>
      </c>
      <c r="G26" s="158">
        <v>40</v>
      </c>
      <c r="H26" s="155">
        <f t="shared" si="2"/>
        <v>10</v>
      </c>
      <c r="I26" s="155">
        <f t="shared" si="3"/>
        <v>33.333333333333314</v>
      </c>
    </row>
    <row r="27" spans="1:11" ht="23.25" customHeight="1">
      <c r="A27" s="152">
        <v>24</v>
      </c>
      <c r="B27" s="163" t="s">
        <v>399</v>
      </c>
      <c r="C27" s="158">
        <v>35098.531999999999</v>
      </c>
      <c r="D27" s="157">
        <f>E27-C27</f>
        <v>1700.5550000000003</v>
      </c>
      <c r="E27" s="161">
        <v>36799.087</v>
      </c>
      <c r="F27" s="157">
        <v>35972.668999999994</v>
      </c>
      <c r="G27" s="162">
        <v>38505.470999999998</v>
      </c>
      <c r="H27" s="161">
        <f t="shared" si="2"/>
        <v>3406.9389999999985</v>
      </c>
      <c r="I27" s="157">
        <f t="shared" si="3"/>
        <v>9.7067848877554326</v>
      </c>
    </row>
    <row r="28" spans="1:11" ht="24" customHeight="1">
      <c r="A28" s="152">
        <v>25</v>
      </c>
      <c r="B28" s="163" t="s">
        <v>400</v>
      </c>
      <c r="C28" s="161">
        <f>C5+C27</f>
        <v>78668.231999999989</v>
      </c>
      <c r="D28" s="161">
        <f>D5+D27</f>
        <v>3958.3550000000005</v>
      </c>
      <c r="E28" s="161">
        <f>E5+E27</f>
        <v>82626.587</v>
      </c>
      <c r="F28" s="161">
        <f>F5+F27</f>
        <v>81366.662000000011</v>
      </c>
      <c r="G28" s="161">
        <f>G5+G27</f>
        <v>87572.271000000008</v>
      </c>
      <c r="H28" s="161">
        <f t="shared" si="2"/>
        <v>8904.0390000000189</v>
      </c>
      <c r="I28" s="157">
        <f>SUM((G28/C28*100)-100)</f>
        <v>11.318468425729989</v>
      </c>
      <c r="J28" s="205"/>
    </row>
    <row r="29" spans="1:11">
      <c r="A29" s="152">
        <v>26</v>
      </c>
      <c r="B29" s="154" t="s">
        <v>401</v>
      </c>
      <c r="C29" s="164">
        <v>14.9</v>
      </c>
      <c r="D29" s="164"/>
      <c r="E29" s="164"/>
      <c r="F29" s="164"/>
      <c r="G29" s="164">
        <v>36.450000000000003</v>
      </c>
      <c r="H29" s="165">
        <f t="shared" si="2"/>
        <v>21.550000000000004</v>
      </c>
      <c r="I29" s="155">
        <f t="shared" si="3"/>
        <v>144.63087248322148</v>
      </c>
    </row>
    <row r="30" spans="1:11" ht="16.5" customHeight="1">
      <c r="A30" s="152">
        <v>27</v>
      </c>
      <c r="B30" s="153" t="s">
        <v>402</v>
      </c>
      <c r="C30" s="166">
        <v>203.2</v>
      </c>
      <c r="D30" s="166"/>
      <c r="E30" s="167"/>
      <c r="F30" s="166"/>
      <c r="G30" s="166">
        <v>127.461</v>
      </c>
      <c r="H30" s="154">
        <f t="shared" si="2"/>
        <v>-75.73899999999999</v>
      </c>
      <c r="I30" s="155">
        <f t="shared" si="3"/>
        <v>-37.273129921259837</v>
      </c>
      <c r="K30" s="205"/>
    </row>
    <row r="31" spans="1:11" ht="13.9" customHeight="1">
      <c r="A31" s="152">
        <v>28</v>
      </c>
      <c r="B31" s="153" t="s">
        <v>403</v>
      </c>
      <c r="C31" s="166">
        <v>165.2</v>
      </c>
      <c r="D31" s="166"/>
      <c r="E31" s="167"/>
      <c r="F31" s="166"/>
      <c r="G31" s="166">
        <v>165.24799999999999</v>
      </c>
      <c r="H31" s="154">
        <f t="shared" si="2"/>
        <v>4.8000000000001819E-2</v>
      </c>
      <c r="I31" s="155">
        <f t="shared" si="3"/>
        <v>2.905569007263864E-2</v>
      </c>
    </row>
    <row r="32" spans="1:11" ht="13.9" customHeight="1">
      <c r="A32" s="152">
        <v>29</v>
      </c>
      <c r="B32" s="153" t="s">
        <v>404</v>
      </c>
      <c r="C32" s="166"/>
      <c r="D32" s="166"/>
      <c r="E32" s="167"/>
      <c r="F32" s="166"/>
      <c r="G32" s="166">
        <v>0</v>
      </c>
      <c r="H32" s="154">
        <f t="shared" si="2"/>
        <v>0</v>
      </c>
      <c r="I32" s="155"/>
    </row>
    <row r="33" spans="1:12" ht="17.45" customHeight="1">
      <c r="A33" s="152">
        <v>30</v>
      </c>
      <c r="B33" s="153" t="s">
        <v>405</v>
      </c>
      <c r="C33" s="166">
        <v>193.5</v>
      </c>
      <c r="D33" s="166"/>
      <c r="E33" s="167"/>
      <c r="F33" s="166"/>
      <c r="G33" s="166">
        <v>123.786</v>
      </c>
      <c r="H33" s="154">
        <f t="shared" si="2"/>
        <v>-69.713999999999999</v>
      </c>
      <c r="I33" s="155">
        <f t="shared" si="3"/>
        <v>-36.027906976744184</v>
      </c>
    </row>
    <row r="34" spans="1:12" ht="19.899999999999999" customHeight="1">
      <c r="A34" s="152">
        <v>31</v>
      </c>
      <c r="B34" s="153" t="s">
        <v>406</v>
      </c>
      <c r="C34" s="166">
        <v>68.7</v>
      </c>
      <c r="D34" s="166"/>
      <c r="E34" s="167"/>
      <c r="F34" s="166"/>
      <c r="G34" s="166">
        <v>94.856999999999999</v>
      </c>
      <c r="H34" s="154">
        <f t="shared" si="2"/>
        <v>26.156999999999996</v>
      </c>
      <c r="I34" s="155">
        <f t="shared" si="3"/>
        <v>38.074235807860248</v>
      </c>
    </row>
    <row r="35" spans="1:12" ht="15.6" customHeight="1">
      <c r="A35" s="152">
        <v>32</v>
      </c>
      <c r="B35" s="153" t="s">
        <v>407</v>
      </c>
      <c r="C35" s="166">
        <v>288.3</v>
      </c>
      <c r="D35" s="166"/>
      <c r="E35" s="167"/>
      <c r="F35" s="166"/>
      <c r="G35" s="166">
        <v>764.16</v>
      </c>
      <c r="H35" s="154">
        <f t="shared" si="2"/>
        <v>475.85999999999996</v>
      </c>
      <c r="I35" s="155">
        <f t="shared" si="3"/>
        <v>165.05723204994791</v>
      </c>
    </row>
    <row r="36" spans="1:12" ht="16.899999999999999" customHeight="1">
      <c r="A36" s="152">
        <v>33</v>
      </c>
      <c r="B36" s="153" t="s">
        <v>408</v>
      </c>
      <c r="C36" s="166">
        <v>2358.6999999999998</v>
      </c>
      <c r="D36" s="166"/>
      <c r="E36" s="167"/>
      <c r="F36" s="166"/>
      <c r="G36" s="166">
        <v>783.23500000000001</v>
      </c>
      <c r="H36" s="155">
        <f t="shared" si="2"/>
        <v>-1575.4649999999997</v>
      </c>
      <c r="I36" s="155">
        <f t="shared" si="3"/>
        <v>-66.793784711917581</v>
      </c>
    </row>
    <row r="37" spans="1:12" ht="34.5" customHeight="1">
      <c r="A37" s="152">
        <v>34</v>
      </c>
      <c r="B37" s="153" t="s">
        <v>409</v>
      </c>
      <c r="C37" s="166">
        <f>SUM(C6:C15,C19:C26)</f>
        <v>41112</v>
      </c>
      <c r="D37" s="166">
        <f t="shared" ref="D37:F37" si="5">SUM(D6:D15,D19:D26)</f>
        <v>2071.8000000000002</v>
      </c>
      <c r="E37" s="166">
        <f t="shared" si="5"/>
        <v>43183.8</v>
      </c>
      <c r="F37" s="166">
        <f t="shared" si="5"/>
        <v>42799.375000000007</v>
      </c>
      <c r="G37" s="166">
        <f>SUM(G6:G15,G19:G21,G23:G26)</f>
        <v>46198</v>
      </c>
      <c r="H37" s="166">
        <f t="shared" si="2"/>
        <v>5086</v>
      </c>
      <c r="I37" s="155">
        <f t="shared" si="3"/>
        <v>12.371083868456893</v>
      </c>
      <c r="J37" s="205"/>
    </row>
    <row r="38" spans="1:12">
      <c r="A38" s="152">
        <v>35</v>
      </c>
      <c r="B38" s="160" t="s">
        <v>410</v>
      </c>
      <c r="C38" s="168">
        <f t="shared" ref="C38:H38" si="6">SUM(C29:C36)</f>
        <v>3292.5</v>
      </c>
      <c r="D38" s="168">
        <f t="shared" si="6"/>
        <v>0</v>
      </c>
      <c r="E38" s="168">
        <f t="shared" si="6"/>
        <v>0</v>
      </c>
      <c r="F38" s="168">
        <f t="shared" si="6"/>
        <v>0</v>
      </c>
      <c r="G38" s="169">
        <f t="shared" si="6"/>
        <v>2095.1970000000001</v>
      </c>
      <c r="H38" s="168">
        <f t="shared" si="6"/>
        <v>-1197.3029999999997</v>
      </c>
      <c r="I38" s="168">
        <f t="shared" si="3"/>
        <v>-36.364555808656029</v>
      </c>
    </row>
    <row r="39" spans="1:12">
      <c r="A39" s="152">
        <v>36</v>
      </c>
      <c r="B39" s="153" t="s">
        <v>411</v>
      </c>
      <c r="C39" s="155">
        <v>3147</v>
      </c>
      <c r="D39" s="155"/>
      <c r="E39" s="155"/>
      <c r="F39" s="155"/>
      <c r="G39" s="155">
        <v>3887.2</v>
      </c>
      <c r="H39" s="168">
        <f t="shared" si="2"/>
        <v>740.19999999999982</v>
      </c>
      <c r="I39" s="155">
        <f t="shared" si="3"/>
        <v>23.520813473149033</v>
      </c>
    </row>
    <row r="40" spans="1:12" ht="30">
      <c r="A40" s="687">
        <v>37</v>
      </c>
      <c r="B40" s="153" t="s">
        <v>797</v>
      </c>
      <c r="C40" s="166">
        <f>C37+C36+C31+C30+C29+C39</f>
        <v>47000.999999999993</v>
      </c>
      <c r="D40" s="166"/>
      <c r="E40" s="166"/>
      <c r="F40" s="166"/>
      <c r="G40" s="166">
        <f t="shared" ref="G40" si="7">G37+G36+G31+G30+G29+G39</f>
        <v>51197.593999999997</v>
      </c>
      <c r="H40" s="168">
        <f>SUM(G40-C40)</f>
        <v>4196.5940000000046</v>
      </c>
      <c r="I40" s="155">
        <f t="shared" si="3"/>
        <v>8.9287334312035966</v>
      </c>
      <c r="L40" s="686"/>
    </row>
  </sheetData>
  <mergeCells count="2">
    <mergeCell ref="A1:G1"/>
    <mergeCell ref="H1:I1"/>
  </mergeCells>
  <pageMargins left="0.25" right="0.25"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77" zoomScaleNormal="77" workbookViewId="0">
      <selection activeCell="J46" sqref="J46"/>
    </sheetView>
  </sheetViews>
  <sheetFormatPr defaultRowHeight="15.75"/>
  <cols>
    <col min="1" max="1" width="37.28515625" style="902" customWidth="1"/>
    <col min="2" max="3" width="13.7109375" style="903" customWidth="1"/>
    <col min="4" max="4" width="12.140625" style="903" customWidth="1"/>
    <col min="5" max="5" width="15.85546875" style="903" customWidth="1"/>
    <col min="6" max="6" width="10.7109375" style="903" customWidth="1"/>
    <col min="7" max="7" width="11.7109375" style="903" customWidth="1"/>
    <col min="8" max="8" width="14" style="903" customWidth="1"/>
    <col min="9" max="245" width="9.140625" style="903"/>
    <col min="246" max="246" width="29.28515625" style="903" customWidth="1"/>
    <col min="247" max="247" width="0.140625" style="903" customWidth="1"/>
    <col min="248" max="248" width="0" style="903" hidden="1" customWidth="1"/>
    <col min="249" max="249" width="10.5703125" style="903" customWidth="1"/>
    <col min="250" max="250" width="10.7109375" style="903" customWidth="1"/>
    <col min="251" max="251" width="11.7109375" style="903" customWidth="1"/>
    <col min="252" max="253" width="10.28515625" style="903" customWidth="1"/>
    <col min="254" max="254" width="9.28515625" style="903" customWidth="1"/>
    <col min="255" max="501" width="9.140625" style="903"/>
    <col min="502" max="502" width="29.28515625" style="903" customWidth="1"/>
    <col min="503" max="503" width="0.140625" style="903" customWidth="1"/>
    <col min="504" max="504" width="0" style="903" hidden="1" customWidth="1"/>
    <col min="505" max="505" width="10.5703125" style="903" customWidth="1"/>
    <col min="506" max="506" width="10.7109375" style="903" customWidth="1"/>
    <col min="507" max="507" width="11.7109375" style="903" customWidth="1"/>
    <col min="508" max="509" width="10.28515625" style="903" customWidth="1"/>
    <col min="510" max="510" width="9.28515625" style="903" customWidth="1"/>
    <col min="511" max="757" width="9.140625" style="903"/>
    <col min="758" max="758" width="29.28515625" style="903" customWidth="1"/>
    <col min="759" max="759" width="0.140625" style="903" customWidth="1"/>
    <col min="760" max="760" width="0" style="903" hidden="1" customWidth="1"/>
    <col min="761" max="761" width="10.5703125" style="903" customWidth="1"/>
    <col min="762" max="762" width="10.7109375" style="903" customWidth="1"/>
    <col min="763" max="763" width="11.7109375" style="903" customWidth="1"/>
    <col min="764" max="765" width="10.28515625" style="903" customWidth="1"/>
    <col min="766" max="766" width="9.28515625" style="903" customWidth="1"/>
    <col min="767" max="1013" width="9.140625" style="903"/>
    <col min="1014" max="1014" width="29.28515625" style="903" customWidth="1"/>
    <col min="1015" max="1015" width="0.140625" style="903" customWidth="1"/>
    <col min="1016" max="1016" width="0" style="903" hidden="1" customWidth="1"/>
    <col min="1017" max="1017" width="10.5703125" style="903" customWidth="1"/>
    <col min="1018" max="1018" width="10.7109375" style="903" customWidth="1"/>
    <col min="1019" max="1019" width="11.7109375" style="903" customWidth="1"/>
    <col min="1020" max="1021" width="10.28515625" style="903" customWidth="1"/>
    <col min="1022" max="1022" width="9.28515625" style="903" customWidth="1"/>
    <col min="1023" max="1269" width="9.140625" style="903"/>
    <col min="1270" max="1270" width="29.28515625" style="903" customWidth="1"/>
    <col min="1271" max="1271" width="0.140625" style="903" customWidth="1"/>
    <col min="1272" max="1272" width="0" style="903" hidden="1" customWidth="1"/>
    <col min="1273" max="1273" width="10.5703125" style="903" customWidth="1"/>
    <col min="1274" max="1274" width="10.7109375" style="903" customWidth="1"/>
    <col min="1275" max="1275" width="11.7109375" style="903" customWidth="1"/>
    <col min="1276" max="1277" width="10.28515625" style="903" customWidth="1"/>
    <col min="1278" max="1278" width="9.28515625" style="903" customWidth="1"/>
    <col min="1279" max="1525" width="9.140625" style="903"/>
    <col min="1526" max="1526" width="29.28515625" style="903" customWidth="1"/>
    <col min="1527" max="1527" width="0.140625" style="903" customWidth="1"/>
    <col min="1528" max="1528" width="0" style="903" hidden="1" customWidth="1"/>
    <col min="1529" max="1529" width="10.5703125" style="903" customWidth="1"/>
    <col min="1530" max="1530" width="10.7109375" style="903" customWidth="1"/>
    <col min="1531" max="1531" width="11.7109375" style="903" customWidth="1"/>
    <col min="1532" max="1533" width="10.28515625" style="903" customWidth="1"/>
    <col min="1534" max="1534" width="9.28515625" style="903" customWidth="1"/>
    <col min="1535" max="1781" width="9.140625" style="903"/>
    <col min="1782" max="1782" width="29.28515625" style="903" customWidth="1"/>
    <col min="1783" max="1783" width="0.140625" style="903" customWidth="1"/>
    <col min="1784" max="1784" width="0" style="903" hidden="1" customWidth="1"/>
    <col min="1785" max="1785" width="10.5703125" style="903" customWidth="1"/>
    <col min="1786" max="1786" width="10.7109375" style="903" customWidth="1"/>
    <col min="1787" max="1787" width="11.7109375" style="903" customWidth="1"/>
    <col min="1788" max="1789" width="10.28515625" style="903" customWidth="1"/>
    <col min="1790" max="1790" width="9.28515625" style="903" customWidth="1"/>
    <col min="1791" max="2037" width="9.140625" style="903"/>
    <col min="2038" max="2038" width="29.28515625" style="903" customWidth="1"/>
    <col min="2039" max="2039" width="0.140625" style="903" customWidth="1"/>
    <col min="2040" max="2040" width="0" style="903" hidden="1" customWidth="1"/>
    <col min="2041" max="2041" width="10.5703125" style="903" customWidth="1"/>
    <col min="2042" max="2042" width="10.7109375" style="903" customWidth="1"/>
    <col min="2043" max="2043" width="11.7109375" style="903" customWidth="1"/>
    <col min="2044" max="2045" width="10.28515625" style="903" customWidth="1"/>
    <col min="2046" max="2046" width="9.28515625" style="903" customWidth="1"/>
    <col min="2047" max="2293" width="9.140625" style="903"/>
    <col min="2294" max="2294" width="29.28515625" style="903" customWidth="1"/>
    <col min="2295" max="2295" width="0.140625" style="903" customWidth="1"/>
    <col min="2296" max="2296" width="0" style="903" hidden="1" customWidth="1"/>
    <col min="2297" max="2297" width="10.5703125" style="903" customWidth="1"/>
    <col min="2298" max="2298" width="10.7109375" style="903" customWidth="1"/>
    <col min="2299" max="2299" width="11.7109375" style="903" customWidth="1"/>
    <col min="2300" max="2301" width="10.28515625" style="903" customWidth="1"/>
    <col min="2302" max="2302" width="9.28515625" style="903" customWidth="1"/>
    <col min="2303" max="2549" width="9.140625" style="903"/>
    <col min="2550" max="2550" width="29.28515625" style="903" customWidth="1"/>
    <col min="2551" max="2551" width="0.140625" style="903" customWidth="1"/>
    <col min="2552" max="2552" width="0" style="903" hidden="1" customWidth="1"/>
    <col min="2553" max="2553" width="10.5703125" style="903" customWidth="1"/>
    <col min="2554" max="2554" width="10.7109375" style="903" customWidth="1"/>
    <col min="2555" max="2555" width="11.7109375" style="903" customWidth="1"/>
    <col min="2556" max="2557" width="10.28515625" style="903" customWidth="1"/>
    <col min="2558" max="2558" width="9.28515625" style="903" customWidth="1"/>
    <col min="2559" max="2805" width="9.140625" style="903"/>
    <col min="2806" max="2806" width="29.28515625" style="903" customWidth="1"/>
    <col min="2807" max="2807" width="0.140625" style="903" customWidth="1"/>
    <col min="2808" max="2808" width="0" style="903" hidden="1" customWidth="1"/>
    <col min="2809" max="2809" width="10.5703125" style="903" customWidth="1"/>
    <col min="2810" max="2810" width="10.7109375" style="903" customWidth="1"/>
    <col min="2811" max="2811" width="11.7109375" style="903" customWidth="1"/>
    <col min="2812" max="2813" width="10.28515625" style="903" customWidth="1"/>
    <col min="2814" max="2814" width="9.28515625" style="903" customWidth="1"/>
    <col min="2815" max="3061" width="9.140625" style="903"/>
    <col min="3062" max="3062" width="29.28515625" style="903" customWidth="1"/>
    <col min="3063" max="3063" width="0.140625" style="903" customWidth="1"/>
    <col min="3064" max="3064" width="0" style="903" hidden="1" customWidth="1"/>
    <col min="3065" max="3065" width="10.5703125" style="903" customWidth="1"/>
    <col min="3066" max="3066" width="10.7109375" style="903" customWidth="1"/>
    <col min="3067" max="3067" width="11.7109375" style="903" customWidth="1"/>
    <col min="3068" max="3069" width="10.28515625" style="903" customWidth="1"/>
    <col min="3070" max="3070" width="9.28515625" style="903" customWidth="1"/>
    <col min="3071" max="3317" width="9.140625" style="903"/>
    <col min="3318" max="3318" width="29.28515625" style="903" customWidth="1"/>
    <col min="3319" max="3319" width="0.140625" style="903" customWidth="1"/>
    <col min="3320" max="3320" width="0" style="903" hidden="1" customWidth="1"/>
    <col min="3321" max="3321" width="10.5703125" style="903" customWidth="1"/>
    <col min="3322" max="3322" width="10.7109375" style="903" customWidth="1"/>
    <col min="3323" max="3323" width="11.7109375" style="903" customWidth="1"/>
    <col min="3324" max="3325" width="10.28515625" style="903" customWidth="1"/>
    <col min="3326" max="3326" width="9.28515625" style="903" customWidth="1"/>
    <col min="3327" max="3573" width="9.140625" style="903"/>
    <col min="3574" max="3574" width="29.28515625" style="903" customWidth="1"/>
    <col min="3575" max="3575" width="0.140625" style="903" customWidth="1"/>
    <col min="3576" max="3576" width="0" style="903" hidden="1" customWidth="1"/>
    <col min="3577" max="3577" width="10.5703125" style="903" customWidth="1"/>
    <col min="3578" max="3578" width="10.7109375" style="903" customWidth="1"/>
    <col min="3579" max="3579" width="11.7109375" style="903" customWidth="1"/>
    <col min="3580" max="3581" width="10.28515625" style="903" customWidth="1"/>
    <col min="3582" max="3582" width="9.28515625" style="903" customWidth="1"/>
    <col min="3583" max="3829" width="9.140625" style="903"/>
    <col min="3830" max="3830" width="29.28515625" style="903" customWidth="1"/>
    <col min="3831" max="3831" width="0.140625" style="903" customWidth="1"/>
    <col min="3832" max="3832" width="0" style="903" hidden="1" customWidth="1"/>
    <col min="3833" max="3833" width="10.5703125" style="903" customWidth="1"/>
    <col min="3834" max="3834" width="10.7109375" style="903" customWidth="1"/>
    <col min="3835" max="3835" width="11.7109375" style="903" customWidth="1"/>
    <col min="3836" max="3837" width="10.28515625" style="903" customWidth="1"/>
    <col min="3838" max="3838" width="9.28515625" style="903" customWidth="1"/>
    <col min="3839" max="4085" width="9.140625" style="903"/>
    <col min="4086" max="4086" width="29.28515625" style="903" customWidth="1"/>
    <col min="4087" max="4087" width="0.140625" style="903" customWidth="1"/>
    <col min="4088" max="4088" width="0" style="903" hidden="1" customWidth="1"/>
    <col min="4089" max="4089" width="10.5703125" style="903" customWidth="1"/>
    <col min="4090" max="4090" width="10.7109375" style="903" customWidth="1"/>
    <col min="4091" max="4091" width="11.7109375" style="903" customWidth="1"/>
    <col min="4092" max="4093" width="10.28515625" style="903" customWidth="1"/>
    <col min="4094" max="4094" width="9.28515625" style="903" customWidth="1"/>
    <col min="4095" max="4341" width="9.140625" style="903"/>
    <col min="4342" max="4342" width="29.28515625" style="903" customWidth="1"/>
    <col min="4343" max="4343" width="0.140625" style="903" customWidth="1"/>
    <col min="4344" max="4344" width="0" style="903" hidden="1" customWidth="1"/>
    <col min="4345" max="4345" width="10.5703125" style="903" customWidth="1"/>
    <col min="4346" max="4346" width="10.7109375" style="903" customWidth="1"/>
    <col min="4347" max="4347" width="11.7109375" style="903" customWidth="1"/>
    <col min="4348" max="4349" width="10.28515625" style="903" customWidth="1"/>
    <col min="4350" max="4350" width="9.28515625" style="903" customWidth="1"/>
    <col min="4351" max="4597" width="9.140625" style="903"/>
    <col min="4598" max="4598" width="29.28515625" style="903" customWidth="1"/>
    <col min="4599" max="4599" width="0.140625" style="903" customWidth="1"/>
    <col min="4600" max="4600" width="0" style="903" hidden="1" customWidth="1"/>
    <col min="4601" max="4601" width="10.5703125" style="903" customWidth="1"/>
    <col min="4602" max="4602" width="10.7109375" style="903" customWidth="1"/>
    <col min="4603" max="4603" width="11.7109375" style="903" customWidth="1"/>
    <col min="4604" max="4605" width="10.28515625" style="903" customWidth="1"/>
    <col min="4606" max="4606" width="9.28515625" style="903" customWidth="1"/>
    <col min="4607" max="4853" width="9.140625" style="903"/>
    <col min="4854" max="4854" width="29.28515625" style="903" customWidth="1"/>
    <col min="4855" max="4855" width="0.140625" style="903" customWidth="1"/>
    <col min="4856" max="4856" width="0" style="903" hidden="1" customWidth="1"/>
    <col min="4857" max="4857" width="10.5703125" style="903" customWidth="1"/>
    <col min="4858" max="4858" width="10.7109375" style="903" customWidth="1"/>
    <col min="4859" max="4859" width="11.7109375" style="903" customWidth="1"/>
    <col min="4860" max="4861" width="10.28515625" style="903" customWidth="1"/>
    <col min="4862" max="4862" width="9.28515625" style="903" customWidth="1"/>
    <col min="4863" max="5109" width="9.140625" style="903"/>
    <col min="5110" max="5110" width="29.28515625" style="903" customWidth="1"/>
    <col min="5111" max="5111" width="0.140625" style="903" customWidth="1"/>
    <col min="5112" max="5112" width="0" style="903" hidden="1" customWidth="1"/>
    <col min="5113" max="5113" width="10.5703125" style="903" customWidth="1"/>
    <col min="5114" max="5114" width="10.7109375" style="903" customWidth="1"/>
    <col min="5115" max="5115" width="11.7109375" style="903" customWidth="1"/>
    <col min="5116" max="5117" width="10.28515625" style="903" customWidth="1"/>
    <col min="5118" max="5118" width="9.28515625" style="903" customWidth="1"/>
    <col min="5119" max="5365" width="9.140625" style="903"/>
    <col min="5366" max="5366" width="29.28515625" style="903" customWidth="1"/>
    <col min="5367" max="5367" width="0.140625" style="903" customWidth="1"/>
    <col min="5368" max="5368" width="0" style="903" hidden="1" customWidth="1"/>
    <col min="5369" max="5369" width="10.5703125" style="903" customWidth="1"/>
    <col min="5370" max="5370" width="10.7109375" style="903" customWidth="1"/>
    <col min="5371" max="5371" width="11.7109375" style="903" customWidth="1"/>
    <col min="5372" max="5373" width="10.28515625" style="903" customWidth="1"/>
    <col min="5374" max="5374" width="9.28515625" style="903" customWidth="1"/>
    <col min="5375" max="5621" width="9.140625" style="903"/>
    <col min="5622" max="5622" width="29.28515625" style="903" customWidth="1"/>
    <col min="5623" max="5623" width="0.140625" style="903" customWidth="1"/>
    <col min="5624" max="5624" width="0" style="903" hidden="1" customWidth="1"/>
    <col min="5625" max="5625" width="10.5703125" style="903" customWidth="1"/>
    <col min="5626" max="5626" width="10.7109375" style="903" customWidth="1"/>
    <col min="5627" max="5627" width="11.7109375" style="903" customWidth="1"/>
    <col min="5628" max="5629" width="10.28515625" style="903" customWidth="1"/>
    <col min="5630" max="5630" width="9.28515625" style="903" customWidth="1"/>
    <col min="5631" max="5877" width="9.140625" style="903"/>
    <col min="5878" max="5878" width="29.28515625" style="903" customWidth="1"/>
    <col min="5879" max="5879" width="0.140625" style="903" customWidth="1"/>
    <col min="5880" max="5880" width="0" style="903" hidden="1" customWidth="1"/>
    <col min="5881" max="5881" width="10.5703125" style="903" customWidth="1"/>
    <col min="5882" max="5882" width="10.7109375" style="903" customWidth="1"/>
    <col min="5883" max="5883" width="11.7109375" style="903" customWidth="1"/>
    <col min="5884" max="5885" width="10.28515625" style="903" customWidth="1"/>
    <col min="5886" max="5886" width="9.28515625" style="903" customWidth="1"/>
    <col min="5887" max="6133" width="9.140625" style="903"/>
    <col min="6134" max="6134" width="29.28515625" style="903" customWidth="1"/>
    <col min="6135" max="6135" width="0.140625" style="903" customWidth="1"/>
    <col min="6136" max="6136" width="0" style="903" hidden="1" customWidth="1"/>
    <col min="6137" max="6137" width="10.5703125" style="903" customWidth="1"/>
    <col min="6138" max="6138" width="10.7109375" style="903" customWidth="1"/>
    <col min="6139" max="6139" width="11.7109375" style="903" customWidth="1"/>
    <col min="6140" max="6141" width="10.28515625" style="903" customWidth="1"/>
    <col min="6142" max="6142" width="9.28515625" style="903" customWidth="1"/>
    <col min="6143" max="6389" width="9.140625" style="903"/>
    <col min="6390" max="6390" width="29.28515625" style="903" customWidth="1"/>
    <col min="6391" max="6391" width="0.140625" style="903" customWidth="1"/>
    <col min="6392" max="6392" width="0" style="903" hidden="1" customWidth="1"/>
    <col min="6393" max="6393" width="10.5703125" style="903" customWidth="1"/>
    <col min="6394" max="6394" width="10.7109375" style="903" customWidth="1"/>
    <col min="6395" max="6395" width="11.7109375" style="903" customWidth="1"/>
    <col min="6396" max="6397" width="10.28515625" style="903" customWidth="1"/>
    <col min="6398" max="6398" width="9.28515625" style="903" customWidth="1"/>
    <col min="6399" max="6645" width="9.140625" style="903"/>
    <col min="6646" max="6646" width="29.28515625" style="903" customWidth="1"/>
    <col min="6647" max="6647" width="0.140625" style="903" customWidth="1"/>
    <col min="6648" max="6648" width="0" style="903" hidden="1" customWidth="1"/>
    <col min="6649" max="6649" width="10.5703125" style="903" customWidth="1"/>
    <col min="6650" max="6650" width="10.7109375" style="903" customWidth="1"/>
    <col min="6651" max="6651" width="11.7109375" style="903" customWidth="1"/>
    <col min="6652" max="6653" width="10.28515625" style="903" customWidth="1"/>
    <col min="6654" max="6654" width="9.28515625" style="903" customWidth="1"/>
    <col min="6655" max="6901" width="9.140625" style="903"/>
    <col min="6902" max="6902" width="29.28515625" style="903" customWidth="1"/>
    <col min="6903" max="6903" width="0.140625" style="903" customWidth="1"/>
    <col min="6904" max="6904" width="0" style="903" hidden="1" customWidth="1"/>
    <col min="6905" max="6905" width="10.5703125" style="903" customWidth="1"/>
    <col min="6906" max="6906" width="10.7109375" style="903" customWidth="1"/>
    <col min="6907" max="6907" width="11.7109375" style="903" customWidth="1"/>
    <col min="6908" max="6909" width="10.28515625" style="903" customWidth="1"/>
    <col min="6910" max="6910" width="9.28515625" style="903" customWidth="1"/>
    <col min="6911" max="7157" width="9.140625" style="903"/>
    <col min="7158" max="7158" width="29.28515625" style="903" customWidth="1"/>
    <col min="7159" max="7159" width="0.140625" style="903" customWidth="1"/>
    <col min="7160" max="7160" width="0" style="903" hidden="1" customWidth="1"/>
    <col min="7161" max="7161" width="10.5703125" style="903" customWidth="1"/>
    <col min="7162" max="7162" width="10.7109375" style="903" customWidth="1"/>
    <col min="7163" max="7163" width="11.7109375" style="903" customWidth="1"/>
    <col min="7164" max="7165" width="10.28515625" style="903" customWidth="1"/>
    <col min="7166" max="7166" width="9.28515625" style="903" customWidth="1"/>
    <col min="7167" max="7413" width="9.140625" style="903"/>
    <col min="7414" max="7414" width="29.28515625" style="903" customWidth="1"/>
    <col min="7415" max="7415" width="0.140625" style="903" customWidth="1"/>
    <col min="7416" max="7416" width="0" style="903" hidden="1" customWidth="1"/>
    <col min="7417" max="7417" width="10.5703125" style="903" customWidth="1"/>
    <col min="7418" max="7418" width="10.7109375" style="903" customWidth="1"/>
    <col min="7419" max="7419" width="11.7109375" style="903" customWidth="1"/>
    <col min="7420" max="7421" width="10.28515625" style="903" customWidth="1"/>
    <col min="7422" max="7422" width="9.28515625" style="903" customWidth="1"/>
    <col min="7423" max="7669" width="9.140625" style="903"/>
    <col min="7670" max="7670" width="29.28515625" style="903" customWidth="1"/>
    <col min="7671" max="7671" width="0.140625" style="903" customWidth="1"/>
    <col min="7672" max="7672" width="0" style="903" hidden="1" customWidth="1"/>
    <col min="7673" max="7673" width="10.5703125" style="903" customWidth="1"/>
    <col min="7674" max="7674" width="10.7109375" style="903" customWidth="1"/>
    <col min="7675" max="7675" width="11.7109375" style="903" customWidth="1"/>
    <col min="7676" max="7677" width="10.28515625" style="903" customWidth="1"/>
    <col min="7678" max="7678" width="9.28515625" style="903" customWidth="1"/>
    <col min="7679" max="7925" width="9.140625" style="903"/>
    <col min="7926" max="7926" width="29.28515625" style="903" customWidth="1"/>
    <col min="7927" max="7927" width="0.140625" style="903" customWidth="1"/>
    <col min="7928" max="7928" width="0" style="903" hidden="1" customWidth="1"/>
    <col min="7929" max="7929" width="10.5703125" style="903" customWidth="1"/>
    <col min="7930" max="7930" width="10.7109375" style="903" customWidth="1"/>
    <col min="7931" max="7931" width="11.7109375" style="903" customWidth="1"/>
    <col min="7932" max="7933" width="10.28515625" style="903" customWidth="1"/>
    <col min="7934" max="7934" width="9.28515625" style="903" customWidth="1"/>
    <col min="7935" max="8181" width="9.140625" style="903"/>
    <col min="8182" max="8182" width="29.28515625" style="903" customWidth="1"/>
    <col min="8183" max="8183" width="0.140625" style="903" customWidth="1"/>
    <col min="8184" max="8184" width="0" style="903" hidden="1" customWidth="1"/>
    <col min="8185" max="8185" width="10.5703125" style="903" customWidth="1"/>
    <col min="8186" max="8186" width="10.7109375" style="903" customWidth="1"/>
    <col min="8187" max="8187" width="11.7109375" style="903" customWidth="1"/>
    <col min="8188" max="8189" width="10.28515625" style="903" customWidth="1"/>
    <col min="8190" max="8190" width="9.28515625" style="903" customWidth="1"/>
    <col min="8191" max="8437" width="9.140625" style="903"/>
    <col min="8438" max="8438" width="29.28515625" style="903" customWidth="1"/>
    <col min="8439" max="8439" width="0.140625" style="903" customWidth="1"/>
    <col min="8440" max="8440" width="0" style="903" hidden="1" customWidth="1"/>
    <col min="8441" max="8441" width="10.5703125" style="903" customWidth="1"/>
    <col min="8442" max="8442" width="10.7109375" style="903" customWidth="1"/>
    <col min="8443" max="8443" width="11.7109375" style="903" customWidth="1"/>
    <col min="8444" max="8445" width="10.28515625" style="903" customWidth="1"/>
    <col min="8446" max="8446" width="9.28515625" style="903" customWidth="1"/>
    <col min="8447" max="8693" width="9.140625" style="903"/>
    <col min="8694" max="8694" width="29.28515625" style="903" customWidth="1"/>
    <col min="8695" max="8695" width="0.140625" style="903" customWidth="1"/>
    <col min="8696" max="8696" width="0" style="903" hidden="1" customWidth="1"/>
    <col min="8697" max="8697" width="10.5703125" style="903" customWidth="1"/>
    <col min="8698" max="8698" width="10.7109375" style="903" customWidth="1"/>
    <col min="8699" max="8699" width="11.7109375" style="903" customWidth="1"/>
    <col min="8700" max="8701" width="10.28515625" style="903" customWidth="1"/>
    <col min="8702" max="8702" width="9.28515625" style="903" customWidth="1"/>
    <col min="8703" max="8949" width="9.140625" style="903"/>
    <col min="8950" max="8950" width="29.28515625" style="903" customWidth="1"/>
    <col min="8951" max="8951" width="0.140625" style="903" customWidth="1"/>
    <col min="8952" max="8952" width="0" style="903" hidden="1" customWidth="1"/>
    <col min="8953" max="8953" width="10.5703125" style="903" customWidth="1"/>
    <col min="8954" max="8954" width="10.7109375" style="903" customWidth="1"/>
    <col min="8955" max="8955" width="11.7109375" style="903" customWidth="1"/>
    <col min="8956" max="8957" width="10.28515625" style="903" customWidth="1"/>
    <col min="8958" max="8958" width="9.28515625" style="903" customWidth="1"/>
    <col min="8959" max="9205" width="9.140625" style="903"/>
    <col min="9206" max="9206" width="29.28515625" style="903" customWidth="1"/>
    <col min="9207" max="9207" width="0.140625" style="903" customWidth="1"/>
    <col min="9208" max="9208" width="0" style="903" hidden="1" customWidth="1"/>
    <col min="9209" max="9209" width="10.5703125" style="903" customWidth="1"/>
    <col min="9210" max="9210" width="10.7109375" style="903" customWidth="1"/>
    <col min="9211" max="9211" width="11.7109375" style="903" customWidth="1"/>
    <col min="9212" max="9213" width="10.28515625" style="903" customWidth="1"/>
    <col min="9214" max="9214" width="9.28515625" style="903" customWidth="1"/>
    <col min="9215" max="9461" width="9.140625" style="903"/>
    <col min="9462" max="9462" width="29.28515625" style="903" customWidth="1"/>
    <col min="9463" max="9463" width="0.140625" style="903" customWidth="1"/>
    <col min="9464" max="9464" width="0" style="903" hidden="1" customWidth="1"/>
    <col min="9465" max="9465" width="10.5703125" style="903" customWidth="1"/>
    <col min="9466" max="9466" width="10.7109375" style="903" customWidth="1"/>
    <col min="9467" max="9467" width="11.7109375" style="903" customWidth="1"/>
    <col min="9468" max="9469" width="10.28515625" style="903" customWidth="1"/>
    <col min="9470" max="9470" width="9.28515625" style="903" customWidth="1"/>
    <col min="9471" max="9717" width="9.140625" style="903"/>
    <col min="9718" max="9718" width="29.28515625" style="903" customWidth="1"/>
    <col min="9719" max="9719" width="0.140625" style="903" customWidth="1"/>
    <col min="9720" max="9720" width="0" style="903" hidden="1" customWidth="1"/>
    <col min="9721" max="9721" width="10.5703125" style="903" customWidth="1"/>
    <col min="9722" max="9722" width="10.7109375" style="903" customWidth="1"/>
    <col min="9723" max="9723" width="11.7109375" style="903" customWidth="1"/>
    <col min="9724" max="9725" width="10.28515625" style="903" customWidth="1"/>
    <col min="9726" max="9726" width="9.28515625" style="903" customWidth="1"/>
    <col min="9727" max="9973" width="9.140625" style="903"/>
    <col min="9974" max="9974" width="29.28515625" style="903" customWidth="1"/>
    <col min="9975" max="9975" width="0.140625" style="903" customWidth="1"/>
    <col min="9976" max="9976" width="0" style="903" hidden="1" customWidth="1"/>
    <col min="9977" max="9977" width="10.5703125" style="903" customWidth="1"/>
    <col min="9978" max="9978" width="10.7109375" style="903" customWidth="1"/>
    <col min="9979" max="9979" width="11.7109375" style="903" customWidth="1"/>
    <col min="9980" max="9981" width="10.28515625" style="903" customWidth="1"/>
    <col min="9982" max="9982" width="9.28515625" style="903" customWidth="1"/>
    <col min="9983" max="10229" width="9.140625" style="903"/>
    <col min="10230" max="10230" width="29.28515625" style="903" customWidth="1"/>
    <col min="10231" max="10231" width="0.140625" style="903" customWidth="1"/>
    <col min="10232" max="10232" width="0" style="903" hidden="1" customWidth="1"/>
    <col min="10233" max="10233" width="10.5703125" style="903" customWidth="1"/>
    <col min="10234" max="10234" width="10.7109375" style="903" customWidth="1"/>
    <col min="10235" max="10235" width="11.7109375" style="903" customWidth="1"/>
    <col min="10236" max="10237" width="10.28515625" style="903" customWidth="1"/>
    <col min="10238" max="10238" width="9.28515625" style="903" customWidth="1"/>
    <col min="10239" max="10485" width="9.140625" style="903"/>
    <col min="10486" max="10486" width="29.28515625" style="903" customWidth="1"/>
    <col min="10487" max="10487" width="0.140625" style="903" customWidth="1"/>
    <col min="10488" max="10488" width="0" style="903" hidden="1" customWidth="1"/>
    <col min="10489" max="10489" width="10.5703125" style="903" customWidth="1"/>
    <col min="10490" max="10490" width="10.7109375" style="903" customWidth="1"/>
    <col min="10491" max="10491" width="11.7109375" style="903" customWidth="1"/>
    <col min="10492" max="10493" width="10.28515625" style="903" customWidth="1"/>
    <col min="10494" max="10494" width="9.28515625" style="903" customWidth="1"/>
    <col min="10495" max="10741" width="9.140625" style="903"/>
    <col min="10742" max="10742" width="29.28515625" style="903" customWidth="1"/>
    <col min="10743" max="10743" width="0.140625" style="903" customWidth="1"/>
    <col min="10744" max="10744" width="0" style="903" hidden="1" customWidth="1"/>
    <col min="10745" max="10745" width="10.5703125" style="903" customWidth="1"/>
    <col min="10746" max="10746" width="10.7109375" style="903" customWidth="1"/>
    <col min="10747" max="10747" width="11.7109375" style="903" customWidth="1"/>
    <col min="10748" max="10749" width="10.28515625" style="903" customWidth="1"/>
    <col min="10750" max="10750" width="9.28515625" style="903" customWidth="1"/>
    <col min="10751" max="10997" width="9.140625" style="903"/>
    <col min="10998" max="10998" width="29.28515625" style="903" customWidth="1"/>
    <col min="10999" max="10999" width="0.140625" style="903" customWidth="1"/>
    <col min="11000" max="11000" width="0" style="903" hidden="1" customWidth="1"/>
    <col min="11001" max="11001" width="10.5703125" style="903" customWidth="1"/>
    <col min="11002" max="11002" width="10.7109375" style="903" customWidth="1"/>
    <col min="11003" max="11003" width="11.7109375" style="903" customWidth="1"/>
    <col min="11004" max="11005" width="10.28515625" style="903" customWidth="1"/>
    <col min="11006" max="11006" width="9.28515625" style="903" customWidth="1"/>
    <col min="11007" max="11253" width="9.140625" style="903"/>
    <col min="11254" max="11254" width="29.28515625" style="903" customWidth="1"/>
    <col min="11255" max="11255" width="0.140625" style="903" customWidth="1"/>
    <col min="11256" max="11256" width="0" style="903" hidden="1" customWidth="1"/>
    <col min="11257" max="11257" width="10.5703125" style="903" customWidth="1"/>
    <col min="11258" max="11258" width="10.7109375" style="903" customWidth="1"/>
    <col min="11259" max="11259" width="11.7109375" style="903" customWidth="1"/>
    <col min="11260" max="11261" width="10.28515625" style="903" customWidth="1"/>
    <col min="11262" max="11262" width="9.28515625" style="903" customWidth="1"/>
    <col min="11263" max="11509" width="9.140625" style="903"/>
    <col min="11510" max="11510" width="29.28515625" style="903" customWidth="1"/>
    <col min="11511" max="11511" width="0.140625" style="903" customWidth="1"/>
    <col min="11512" max="11512" width="0" style="903" hidden="1" customWidth="1"/>
    <col min="11513" max="11513" width="10.5703125" style="903" customWidth="1"/>
    <col min="11514" max="11514" width="10.7109375" style="903" customWidth="1"/>
    <col min="11515" max="11515" width="11.7109375" style="903" customWidth="1"/>
    <col min="11516" max="11517" width="10.28515625" style="903" customWidth="1"/>
    <col min="11518" max="11518" width="9.28515625" style="903" customWidth="1"/>
    <col min="11519" max="11765" width="9.140625" style="903"/>
    <col min="11766" max="11766" width="29.28515625" style="903" customWidth="1"/>
    <col min="11767" max="11767" width="0.140625" style="903" customWidth="1"/>
    <col min="11768" max="11768" width="0" style="903" hidden="1" customWidth="1"/>
    <col min="11769" max="11769" width="10.5703125" style="903" customWidth="1"/>
    <col min="11770" max="11770" width="10.7109375" style="903" customWidth="1"/>
    <col min="11771" max="11771" width="11.7109375" style="903" customWidth="1"/>
    <col min="11772" max="11773" width="10.28515625" style="903" customWidth="1"/>
    <col min="11774" max="11774" width="9.28515625" style="903" customWidth="1"/>
    <col min="11775" max="12021" width="9.140625" style="903"/>
    <col min="12022" max="12022" width="29.28515625" style="903" customWidth="1"/>
    <col min="12023" max="12023" width="0.140625" style="903" customWidth="1"/>
    <col min="12024" max="12024" width="0" style="903" hidden="1" customWidth="1"/>
    <col min="12025" max="12025" width="10.5703125" style="903" customWidth="1"/>
    <col min="12026" max="12026" width="10.7109375" style="903" customWidth="1"/>
    <col min="12027" max="12027" width="11.7109375" style="903" customWidth="1"/>
    <col min="12028" max="12029" width="10.28515625" style="903" customWidth="1"/>
    <col min="12030" max="12030" width="9.28515625" style="903" customWidth="1"/>
    <col min="12031" max="12277" width="9.140625" style="903"/>
    <col min="12278" max="12278" width="29.28515625" style="903" customWidth="1"/>
    <col min="12279" max="12279" width="0.140625" style="903" customWidth="1"/>
    <col min="12280" max="12280" width="0" style="903" hidden="1" customWidth="1"/>
    <col min="12281" max="12281" width="10.5703125" style="903" customWidth="1"/>
    <col min="12282" max="12282" width="10.7109375" style="903" customWidth="1"/>
    <col min="12283" max="12283" width="11.7109375" style="903" customWidth="1"/>
    <col min="12284" max="12285" width="10.28515625" style="903" customWidth="1"/>
    <col min="12286" max="12286" width="9.28515625" style="903" customWidth="1"/>
    <col min="12287" max="12533" width="9.140625" style="903"/>
    <col min="12534" max="12534" width="29.28515625" style="903" customWidth="1"/>
    <col min="12535" max="12535" width="0.140625" style="903" customWidth="1"/>
    <col min="12536" max="12536" width="0" style="903" hidden="1" customWidth="1"/>
    <col min="12537" max="12537" width="10.5703125" style="903" customWidth="1"/>
    <col min="12538" max="12538" width="10.7109375" style="903" customWidth="1"/>
    <col min="12539" max="12539" width="11.7109375" style="903" customWidth="1"/>
    <col min="12540" max="12541" width="10.28515625" style="903" customWidth="1"/>
    <col min="12542" max="12542" width="9.28515625" style="903" customWidth="1"/>
    <col min="12543" max="12789" width="9.140625" style="903"/>
    <col min="12790" max="12790" width="29.28515625" style="903" customWidth="1"/>
    <col min="12791" max="12791" width="0.140625" style="903" customWidth="1"/>
    <col min="12792" max="12792" width="0" style="903" hidden="1" customWidth="1"/>
    <col min="12793" max="12793" width="10.5703125" style="903" customWidth="1"/>
    <col min="12794" max="12794" width="10.7109375" style="903" customWidth="1"/>
    <col min="12795" max="12795" width="11.7109375" style="903" customWidth="1"/>
    <col min="12796" max="12797" width="10.28515625" style="903" customWidth="1"/>
    <col min="12798" max="12798" width="9.28515625" style="903" customWidth="1"/>
    <col min="12799" max="13045" width="9.140625" style="903"/>
    <col min="13046" max="13046" width="29.28515625" style="903" customWidth="1"/>
    <col min="13047" max="13047" width="0.140625" style="903" customWidth="1"/>
    <col min="13048" max="13048" width="0" style="903" hidden="1" customWidth="1"/>
    <col min="13049" max="13049" width="10.5703125" style="903" customWidth="1"/>
    <col min="13050" max="13050" width="10.7109375" style="903" customWidth="1"/>
    <col min="13051" max="13051" width="11.7109375" style="903" customWidth="1"/>
    <col min="13052" max="13053" width="10.28515625" style="903" customWidth="1"/>
    <col min="13054" max="13054" width="9.28515625" style="903" customWidth="1"/>
    <col min="13055" max="13301" width="9.140625" style="903"/>
    <col min="13302" max="13302" width="29.28515625" style="903" customWidth="1"/>
    <col min="13303" max="13303" width="0.140625" style="903" customWidth="1"/>
    <col min="13304" max="13304" width="0" style="903" hidden="1" customWidth="1"/>
    <col min="13305" max="13305" width="10.5703125" style="903" customWidth="1"/>
    <col min="13306" max="13306" width="10.7109375" style="903" customWidth="1"/>
    <col min="13307" max="13307" width="11.7109375" style="903" customWidth="1"/>
    <col min="13308" max="13309" width="10.28515625" style="903" customWidth="1"/>
    <col min="13310" max="13310" width="9.28515625" style="903" customWidth="1"/>
    <col min="13311" max="13557" width="9.140625" style="903"/>
    <col min="13558" max="13558" width="29.28515625" style="903" customWidth="1"/>
    <col min="13559" max="13559" width="0.140625" style="903" customWidth="1"/>
    <col min="13560" max="13560" width="0" style="903" hidden="1" customWidth="1"/>
    <col min="13561" max="13561" width="10.5703125" style="903" customWidth="1"/>
    <col min="13562" max="13562" width="10.7109375" style="903" customWidth="1"/>
    <col min="13563" max="13563" width="11.7109375" style="903" customWidth="1"/>
    <col min="13564" max="13565" width="10.28515625" style="903" customWidth="1"/>
    <col min="13566" max="13566" width="9.28515625" style="903" customWidth="1"/>
    <col min="13567" max="13813" width="9.140625" style="903"/>
    <col min="13814" max="13814" width="29.28515625" style="903" customWidth="1"/>
    <col min="13815" max="13815" width="0.140625" style="903" customWidth="1"/>
    <col min="13816" max="13816" width="0" style="903" hidden="1" customWidth="1"/>
    <col min="13817" max="13817" width="10.5703125" style="903" customWidth="1"/>
    <col min="13818" max="13818" width="10.7109375" style="903" customWidth="1"/>
    <col min="13819" max="13819" width="11.7109375" style="903" customWidth="1"/>
    <col min="13820" max="13821" width="10.28515625" style="903" customWidth="1"/>
    <col min="13822" max="13822" width="9.28515625" style="903" customWidth="1"/>
    <col min="13823" max="14069" width="9.140625" style="903"/>
    <col min="14070" max="14070" width="29.28515625" style="903" customWidth="1"/>
    <col min="14071" max="14071" width="0.140625" style="903" customWidth="1"/>
    <col min="14072" max="14072" width="0" style="903" hidden="1" customWidth="1"/>
    <col min="14073" max="14073" width="10.5703125" style="903" customWidth="1"/>
    <col min="14074" max="14074" width="10.7109375" style="903" customWidth="1"/>
    <col min="14075" max="14075" width="11.7109375" style="903" customWidth="1"/>
    <col min="14076" max="14077" width="10.28515625" style="903" customWidth="1"/>
    <col min="14078" max="14078" width="9.28515625" style="903" customWidth="1"/>
    <col min="14079" max="14325" width="9.140625" style="903"/>
    <col min="14326" max="14326" width="29.28515625" style="903" customWidth="1"/>
    <col min="14327" max="14327" width="0.140625" style="903" customWidth="1"/>
    <col min="14328" max="14328" width="0" style="903" hidden="1" customWidth="1"/>
    <col min="14329" max="14329" width="10.5703125" style="903" customWidth="1"/>
    <col min="14330" max="14330" width="10.7109375" style="903" customWidth="1"/>
    <col min="14331" max="14331" width="11.7109375" style="903" customWidth="1"/>
    <col min="14332" max="14333" width="10.28515625" style="903" customWidth="1"/>
    <col min="14334" max="14334" width="9.28515625" style="903" customWidth="1"/>
    <col min="14335" max="14581" width="9.140625" style="903"/>
    <col min="14582" max="14582" width="29.28515625" style="903" customWidth="1"/>
    <col min="14583" max="14583" width="0.140625" style="903" customWidth="1"/>
    <col min="14584" max="14584" width="0" style="903" hidden="1" customWidth="1"/>
    <col min="14585" max="14585" width="10.5703125" style="903" customWidth="1"/>
    <col min="14586" max="14586" width="10.7109375" style="903" customWidth="1"/>
    <col min="14587" max="14587" width="11.7109375" style="903" customWidth="1"/>
    <col min="14588" max="14589" width="10.28515625" style="903" customWidth="1"/>
    <col min="14590" max="14590" width="9.28515625" style="903" customWidth="1"/>
    <col min="14591" max="14837" width="9.140625" style="903"/>
    <col min="14838" max="14838" width="29.28515625" style="903" customWidth="1"/>
    <col min="14839" max="14839" width="0.140625" style="903" customWidth="1"/>
    <col min="14840" max="14840" width="0" style="903" hidden="1" customWidth="1"/>
    <col min="14841" max="14841" width="10.5703125" style="903" customWidth="1"/>
    <col min="14842" max="14842" width="10.7109375" style="903" customWidth="1"/>
    <col min="14843" max="14843" width="11.7109375" style="903" customWidth="1"/>
    <col min="14844" max="14845" width="10.28515625" style="903" customWidth="1"/>
    <col min="14846" max="14846" width="9.28515625" style="903" customWidth="1"/>
    <col min="14847" max="15093" width="9.140625" style="903"/>
    <col min="15094" max="15094" width="29.28515625" style="903" customWidth="1"/>
    <col min="15095" max="15095" width="0.140625" style="903" customWidth="1"/>
    <col min="15096" max="15096" width="0" style="903" hidden="1" customWidth="1"/>
    <col min="15097" max="15097" width="10.5703125" style="903" customWidth="1"/>
    <col min="15098" max="15098" width="10.7109375" style="903" customWidth="1"/>
    <col min="15099" max="15099" width="11.7109375" style="903" customWidth="1"/>
    <col min="15100" max="15101" width="10.28515625" style="903" customWidth="1"/>
    <col min="15102" max="15102" width="9.28515625" style="903" customWidth="1"/>
    <col min="15103" max="15349" width="9.140625" style="903"/>
    <col min="15350" max="15350" width="29.28515625" style="903" customWidth="1"/>
    <col min="15351" max="15351" width="0.140625" style="903" customWidth="1"/>
    <col min="15352" max="15352" width="0" style="903" hidden="1" customWidth="1"/>
    <col min="15353" max="15353" width="10.5703125" style="903" customWidth="1"/>
    <col min="15354" max="15354" width="10.7109375" style="903" customWidth="1"/>
    <col min="15355" max="15355" width="11.7109375" style="903" customWidth="1"/>
    <col min="15356" max="15357" width="10.28515625" style="903" customWidth="1"/>
    <col min="15358" max="15358" width="9.28515625" style="903" customWidth="1"/>
    <col min="15359" max="15605" width="9.140625" style="903"/>
    <col min="15606" max="15606" width="29.28515625" style="903" customWidth="1"/>
    <col min="15607" max="15607" width="0.140625" style="903" customWidth="1"/>
    <col min="15608" max="15608" width="0" style="903" hidden="1" customWidth="1"/>
    <col min="15609" max="15609" width="10.5703125" style="903" customWidth="1"/>
    <col min="15610" max="15610" width="10.7109375" style="903" customWidth="1"/>
    <col min="15611" max="15611" width="11.7109375" style="903" customWidth="1"/>
    <col min="15612" max="15613" width="10.28515625" style="903" customWidth="1"/>
    <col min="15614" max="15614" width="9.28515625" style="903" customWidth="1"/>
    <col min="15615" max="15861" width="9.140625" style="903"/>
    <col min="15862" max="15862" width="29.28515625" style="903" customWidth="1"/>
    <col min="15863" max="15863" width="0.140625" style="903" customWidth="1"/>
    <col min="15864" max="15864" width="0" style="903" hidden="1" customWidth="1"/>
    <col min="15865" max="15865" width="10.5703125" style="903" customWidth="1"/>
    <col min="15866" max="15866" width="10.7109375" style="903" customWidth="1"/>
    <col min="15867" max="15867" width="11.7109375" style="903" customWidth="1"/>
    <col min="15868" max="15869" width="10.28515625" style="903" customWidth="1"/>
    <col min="15870" max="15870" width="9.28515625" style="903" customWidth="1"/>
    <col min="15871" max="16117" width="9.140625" style="903"/>
    <col min="16118" max="16118" width="29.28515625" style="903" customWidth="1"/>
    <col min="16119" max="16119" width="0.140625" style="903" customWidth="1"/>
    <col min="16120" max="16120" width="0" style="903" hidden="1" customWidth="1"/>
    <col min="16121" max="16121" width="10.5703125" style="903" customWidth="1"/>
    <col min="16122" max="16122" width="10.7109375" style="903" customWidth="1"/>
    <col min="16123" max="16123" width="11.7109375" style="903" customWidth="1"/>
    <col min="16124" max="16125" width="10.28515625" style="903" customWidth="1"/>
    <col min="16126" max="16126" width="9.28515625" style="903" customWidth="1"/>
    <col min="16127" max="16384" width="9.140625" style="903"/>
  </cols>
  <sheetData>
    <row r="1" spans="1:9">
      <c r="H1" s="904" t="s">
        <v>465</v>
      </c>
    </row>
    <row r="2" spans="1:9" s="907" customFormat="1">
      <c r="A2" s="905" t="s">
        <v>461</v>
      </c>
      <c r="B2" s="905"/>
      <c r="C2" s="905"/>
      <c r="D2" s="905"/>
      <c r="E2" s="905"/>
      <c r="F2" s="905"/>
      <c r="G2" s="905"/>
      <c r="H2" s="905"/>
      <c r="I2" s="906"/>
    </row>
    <row r="3" spans="1:9">
      <c r="B3" s="908"/>
      <c r="C3" s="908"/>
      <c r="D3" s="908"/>
      <c r="E3" s="908"/>
      <c r="F3" s="908"/>
      <c r="G3" s="908"/>
      <c r="H3" s="909" t="s">
        <v>462</v>
      </c>
    </row>
    <row r="4" spans="1:9" ht="157.5">
      <c r="A4" s="910" t="s">
        <v>424</v>
      </c>
      <c r="B4" s="911" t="s">
        <v>425</v>
      </c>
      <c r="C4" s="911" t="s">
        <v>426</v>
      </c>
      <c r="D4" s="912" t="s">
        <v>427</v>
      </c>
      <c r="E4" s="912" t="s">
        <v>428</v>
      </c>
      <c r="F4" s="912" t="s">
        <v>429</v>
      </c>
      <c r="G4" s="912" t="s">
        <v>430</v>
      </c>
      <c r="H4" s="913" t="s">
        <v>431</v>
      </c>
    </row>
    <row r="5" spans="1:9">
      <c r="A5" s="914" t="s">
        <v>432</v>
      </c>
      <c r="B5" s="915">
        <v>394.4</v>
      </c>
      <c r="C5" s="916"/>
      <c r="D5" s="915">
        <v>2592.9</v>
      </c>
      <c r="E5" s="916"/>
      <c r="F5" s="917"/>
      <c r="G5" s="916"/>
      <c r="H5" s="918">
        <f t="shared" ref="H5:H40" si="0">+B5+D5+E5+F5+G5+C5</f>
        <v>2987.3</v>
      </c>
    </row>
    <row r="6" spans="1:9">
      <c r="A6" s="919" t="s">
        <v>433</v>
      </c>
      <c r="B6" s="915">
        <v>681.9</v>
      </c>
      <c r="C6" s="916"/>
      <c r="D6" s="915">
        <v>1619.9</v>
      </c>
      <c r="E6" s="915"/>
      <c r="F6" s="915">
        <v>35.299999999999997</v>
      </c>
      <c r="G6" s="916"/>
      <c r="H6" s="918">
        <f t="shared" si="0"/>
        <v>2337.1000000000004</v>
      </c>
    </row>
    <row r="7" spans="1:9">
      <c r="A7" s="914" t="s">
        <v>434</v>
      </c>
      <c r="B7" s="915">
        <v>292.5</v>
      </c>
      <c r="C7" s="916"/>
      <c r="D7" s="920">
        <v>2711.5</v>
      </c>
      <c r="E7" s="915"/>
      <c r="F7" s="915">
        <v>115</v>
      </c>
      <c r="G7" s="916"/>
      <c r="H7" s="918">
        <f t="shared" si="0"/>
        <v>3119</v>
      </c>
    </row>
    <row r="8" spans="1:9">
      <c r="A8" s="914" t="s">
        <v>435</v>
      </c>
      <c r="B8" s="915">
        <v>351.9</v>
      </c>
      <c r="C8" s="916"/>
      <c r="D8" s="915">
        <v>2386.6999999999998</v>
      </c>
      <c r="E8" s="915"/>
      <c r="F8" s="921"/>
      <c r="G8" s="916"/>
      <c r="H8" s="918">
        <f t="shared" si="0"/>
        <v>2738.6</v>
      </c>
    </row>
    <row r="9" spans="1:9">
      <c r="A9" s="914" t="s">
        <v>436</v>
      </c>
      <c r="B9" s="915">
        <v>295.60000000000002</v>
      </c>
      <c r="C9" s="916"/>
      <c r="D9" s="915">
        <v>2592</v>
      </c>
      <c r="E9" s="915"/>
      <c r="F9" s="915">
        <v>110</v>
      </c>
      <c r="G9" s="916"/>
      <c r="H9" s="918">
        <f t="shared" si="0"/>
        <v>2997.6</v>
      </c>
    </row>
    <row r="10" spans="1:9">
      <c r="A10" s="919" t="s">
        <v>437</v>
      </c>
      <c r="B10" s="915">
        <v>89.4</v>
      </c>
      <c r="C10" s="916"/>
      <c r="D10" s="915">
        <v>1163</v>
      </c>
      <c r="E10" s="915">
        <v>532.29999999999995</v>
      </c>
      <c r="F10" s="917"/>
      <c r="G10" s="915">
        <v>15.808999999999999</v>
      </c>
      <c r="H10" s="918">
        <f>+B10+C10+D10+E10+F10+G10</f>
        <v>1800.509</v>
      </c>
    </row>
    <row r="11" spans="1:9">
      <c r="A11" s="914" t="s">
        <v>510</v>
      </c>
      <c r="B11" s="915">
        <v>1057.7</v>
      </c>
      <c r="C11" s="916"/>
      <c r="D11" s="915">
        <v>3118.5</v>
      </c>
      <c r="E11" s="915">
        <v>322.39999999999998</v>
      </c>
      <c r="F11" s="915">
        <v>105.9</v>
      </c>
      <c r="G11" s="916"/>
      <c r="H11" s="918">
        <f t="shared" si="0"/>
        <v>4604.4999999999991</v>
      </c>
    </row>
    <row r="12" spans="1:9">
      <c r="A12" s="914" t="s">
        <v>511</v>
      </c>
      <c r="B12" s="915">
        <v>567.29999999999995</v>
      </c>
      <c r="C12" s="916"/>
      <c r="D12" s="915">
        <v>540.4</v>
      </c>
      <c r="E12" s="916"/>
      <c r="F12" s="917"/>
      <c r="G12" s="916"/>
      <c r="H12" s="918">
        <f t="shared" si="0"/>
        <v>1107.6999999999998</v>
      </c>
    </row>
    <row r="13" spans="1:9">
      <c r="A13" s="914" t="s">
        <v>512</v>
      </c>
      <c r="B13" s="922">
        <v>730.4</v>
      </c>
      <c r="C13" s="916"/>
      <c r="D13" s="915">
        <v>666</v>
      </c>
      <c r="E13" s="916"/>
      <c r="F13" s="917"/>
      <c r="G13" s="916"/>
      <c r="H13" s="918">
        <f t="shared" si="0"/>
        <v>1396.4</v>
      </c>
    </row>
    <row r="14" spans="1:9">
      <c r="A14" s="914" t="s">
        <v>513</v>
      </c>
      <c r="B14" s="915">
        <v>891.1</v>
      </c>
      <c r="C14" s="916"/>
      <c r="D14" s="915">
        <v>870.3</v>
      </c>
      <c r="E14" s="916"/>
      <c r="F14" s="917"/>
      <c r="G14" s="916"/>
      <c r="H14" s="918">
        <f t="shared" si="0"/>
        <v>1761.4</v>
      </c>
    </row>
    <row r="15" spans="1:9" s="923" customFormat="1">
      <c r="A15" s="914" t="s">
        <v>514</v>
      </c>
      <c r="B15" s="915">
        <v>728.6</v>
      </c>
      <c r="C15" s="916"/>
      <c r="D15" s="915">
        <v>710.1</v>
      </c>
      <c r="E15" s="916"/>
      <c r="F15" s="917"/>
      <c r="G15" s="916"/>
      <c r="H15" s="918">
        <f t="shared" si="0"/>
        <v>1438.7</v>
      </c>
    </row>
    <row r="16" spans="1:9">
      <c r="A16" s="914" t="s">
        <v>515</v>
      </c>
      <c r="B16" s="915">
        <v>711.9</v>
      </c>
      <c r="C16" s="916"/>
      <c r="D16" s="915">
        <v>674</v>
      </c>
      <c r="E16" s="916"/>
      <c r="F16" s="917"/>
      <c r="G16" s="916"/>
      <c r="H16" s="918">
        <f t="shared" si="0"/>
        <v>1385.9</v>
      </c>
    </row>
    <row r="17" spans="1:8">
      <c r="A17" s="914" t="s">
        <v>516</v>
      </c>
      <c r="B17" s="915">
        <v>1082.5</v>
      </c>
      <c r="C17" s="916"/>
      <c r="D17" s="915">
        <v>987.7</v>
      </c>
      <c r="E17" s="916"/>
      <c r="F17" s="917"/>
      <c r="G17" s="916"/>
      <c r="H17" s="918">
        <f t="shared" si="0"/>
        <v>2070.1999999999998</v>
      </c>
    </row>
    <row r="18" spans="1:8">
      <c r="A18" s="914" t="s">
        <v>438</v>
      </c>
      <c r="B18" s="922">
        <v>1267.2</v>
      </c>
      <c r="C18" s="924"/>
      <c r="D18" s="922">
        <v>51.2</v>
      </c>
      <c r="E18" s="922">
        <v>633.79999999999995</v>
      </c>
      <c r="F18" s="915">
        <v>2.6</v>
      </c>
      <c r="G18" s="916"/>
      <c r="H18" s="918">
        <f t="shared" si="0"/>
        <v>1954.8</v>
      </c>
    </row>
    <row r="19" spans="1:8">
      <c r="A19" s="914" t="s">
        <v>439</v>
      </c>
      <c r="B19" s="922">
        <v>605.5</v>
      </c>
      <c r="C19" s="924"/>
      <c r="D19" s="922">
        <v>17.2</v>
      </c>
      <c r="E19" s="925"/>
      <c r="F19" s="917"/>
      <c r="G19" s="916"/>
      <c r="H19" s="918">
        <f t="shared" si="0"/>
        <v>622.70000000000005</v>
      </c>
    </row>
    <row r="20" spans="1:8">
      <c r="A20" s="914" t="s">
        <v>440</v>
      </c>
      <c r="B20" s="915">
        <v>887.2</v>
      </c>
      <c r="C20" s="916"/>
      <c r="D20" s="915">
        <v>46.5</v>
      </c>
      <c r="E20" s="915">
        <v>33.5</v>
      </c>
      <c r="F20" s="916"/>
      <c r="G20" s="916"/>
      <c r="H20" s="918">
        <f t="shared" si="0"/>
        <v>967.2</v>
      </c>
    </row>
    <row r="21" spans="1:8" ht="31.5">
      <c r="A21" s="926" t="s">
        <v>441</v>
      </c>
      <c r="B21" s="915">
        <v>215.7</v>
      </c>
      <c r="C21" s="916"/>
      <c r="D21" s="916"/>
      <c r="E21" s="916"/>
      <c r="F21" s="915">
        <v>137.1</v>
      </c>
      <c r="G21" s="916"/>
      <c r="H21" s="918">
        <f t="shared" si="0"/>
        <v>352.79999999999995</v>
      </c>
    </row>
    <row r="22" spans="1:8">
      <c r="A22" s="914" t="s">
        <v>442</v>
      </c>
      <c r="B22" s="915">
        <v>1266.2</v>
      </c>
      <c r="C22" s="916"/>
      <c r="D22" s="915">
        <v>211.9</v>
      </c>
      <c r="E22" s="915">
        <v>35.4</v>
      </c>
      <c r="F22" s="916"/>
      <c r="G22" s="916"/>
      <c r="H22" s="918">
        <f>+B22+D22+E22+F22+G22+C22</f>
        <v>1513.5000000000002</v>
      </c>
    </row>
    <row r="23" spans="1:8">
      <c r="A23" s="914" t="s">
        <v>443</v>
      </c>
      <c r="B23" s="915">
        <v>351.3</v>
      </c>
      <c r="C23" s="916"/>
      <c r="D23" s="916"/>
      <c r="E23" s="915">
        <v>30</v>
      </c>
      <c r="F23" s="917"/>
      <c r="G23" s="915">
        <v>6.2</v>
      </c>
      <c r="H23" s="918">
        <f t="shared" si="0"/>
        <v>387.5</v>
      </c>
    </row>
    <row r="24" spans="1:8">
      <c r="A24" s="914" t="s">
        <v>444</v>
      </c>
      <c r="B24" s="915">
        <v>1924</v>
      </c>
      <c r="C24" s="920">
        <v>740.3</v>
      </c>
      <c r="D24" s="916"/>
      <c r="E24" s="915">
        <v>145.22399999999999</v>
      </c>
      <c r="F24" s="917"/>
      <c r="G24" s="915">
        <v>41.05</v>
      </c>
      <c r="H24" s="918">
        <f t="shared" si="0"/>
        <v>2850.5740000000005</v>
      </c>
    </row>
    <row r="25" spans="1:8">
      <c r="A25" s="927" t="s">
        <v>445</v>
      </c>
      <c r="B25" s="915">
        <v>166.6</v>
      </c>
      <c r="C25" s="915">
        <v>352.6</v>
      </c>
      <c r="D25" s="916"/>
      <c r="E25" s="928">
        <v>5</v>
      </c>
      <c r="F25" s="917"/>
      <c r="G25" s="916"/>
      <c r="H25" s="918">
        <f t="shared" si="0"/>
        <v>524.20000000000005</v>
      </c>
    </row>
    <row r="26" spans="1:8" ht="31.5">
      <c r="A26" s="926" t="s">
        <v>446</v>
      </c>
      <c r="B26" s="915">
        <v>37.1</v>
      </c>
      <c r="C26" s="916"/>
      <c r="D26" s="916"/>
      <c r="E26" s="916"/>
      <c r="F26" s="917"/>
      <c r="G26" s="916"/>
      <c r="H26" s="918">
        <f t="shared" si="0"/>
        <v>37.1</v>
      </c>
    </row>
    <row r="27" spans="1:8">
      <c r="A27" s="914" t="s">
        <v>447</v>
      </c>
      <c r="B27" s="915">
        <v>916.2</v>
      </c>
      <c r="C27" s="916"/>
      <c r="D27" s="916"/>
      <c r="E27" s="916"/>
      <c r="F27" s="917"/>
      <c r="G27" s="916"/>
      <c r="H27" s="918">
        <f t="shared" si="0"/>
        <v>916.2</v>
      </c>
    </row>
    <row r="28" spans="1:8">
      <c r="A28" s="914" t="s">
        <v>448</v>
      </c>
      <c r="B28" s="915">
        <v>131.4</v>
      </c>
      <c r="C28" s="916"/>
      <c r="D28" s="916"/>
      <c r="E28" s="916"/>
      <c r="F28" s="917"/>
      <c r="G28" s="916"/>
      <c r="H28" s="918">
        <f t="shared" si="0"/>
        <v>131.4</v>
      </c>
    </row>
    <row r="29" spans="1:8">
      <c r="A29" s="914" t="s">
        <v>449</v>
      </c>
      <c r="B29" s="915">
        <v>564.20000000000005</v>
      </c>
      <c r="C29" s="916"/>
      <c r="D29" s="916"/>
      <c r="E29" s="920">
        <v>51.8</v>
      </c>
      <c r="F29" s="915">
        <v>54.5</v>
      </c>
      <c r="G29" s="915">
        <v>6.8970000000000002</v>
      </c>
      <c r="H29" s="918">
        <f>+B29+D29+E29+F29+G29+C29</f>
        <v>677.39700000000005</v>
      </c>
    </row>
    <row r="30" spans="1:8" ht="31.5">
      <c r="A30" s="926" t="s">
        <v>450</v>
      </c>
      <c r="B30" s="915">
        <v>829.9</v>
      </c>
      <c r="C30" s="916"/>
      <c r="D30" s="916"/>
      <c r="E30" s="916"/>
      <c r="F30" s="916"/>
      <c r="G30" s="916"/>
      <c r="H30" s="918">
        <f t="shared" si="0"/>
        <v>829.9</v>
      </c>
    </row>
    <row r="31" spans="1:8">
      <c r="A31" s="914" t="s">
        <v>451</v>
      </c>
      <c r="B31" s="915">
        <v>128.80000000000001</v>
      </c>
      <c r="C31" s="916"/>
      <c r="D31" s="916"/>
      <c r="E31" s="916"/>
      <c r="F31" s="916"/>
      <c r="G31" s="916"/>
      <c r="H31" s="918">
        <f t="shared" si="0"/>
        <v>128.80000000000001</v>
      </c>
    </row>
    <row r="32" spans="1:8">
      <c r="A32" s="914" t="s">
        <v>452</v>
      </c>
      <c r="B32" s="915">
        <v>134</v>
      </c>
      <c r="C32" s="916"/>
      <c r="D32" s="916"/>
      <c r="E32" s="916"/>
      <c r="F32" s="916"/>
      <c r="G32" s="916"/>
      <c r="H32" s="918">
        <f t="shared" si="0"/>
        <v>134</v>
      </c>
    </row>
    <row r="33" spans="1:8">
      <c r="A33" s="914" t="s">
        <v>453</v>
      </c>
      <c r="B33" s="915">
        <v>190.8</v>
      </c>
      <c r="C33" s="916"/>
      <c r="D33" s="916"/>
      <c r="E33" s="916"/>
      <c r="F33" s="916"/>
      <c r="G33" s="916"/>
      <c r="H33" s="918">
        <f t="shared" si="0"/>
        <v>190.8</v>
      </c>
    </row>
    <row r="34" spans="1:8">
      <c r="A34" s="914" t="s">
        <v>454</v>
      </c>
      <c r="B34" s="915">
        <v>200.3</v>
      </c>
      <c r="C34" s="916"/>
      <c r="D34" s="916"/>
      <c r="E34" s="916"/>
      <c r="F34" s="916"/>
      <c r="G34" s="916"/>
      <c r="H34" s="918">
        <f t="shared" si="0"/>
        <v>200.3</v>
      </c>
    </row>
    <row r="35" spans="1:8" ht="19.5" customHeight="1">
      <c r="A35" s="929" t="s">
        <v>455</v>
      </c>
      <c r="B35" s="916"/>
      <c r="C35" s="915">
        <v>973.7</v>
      </c>
      <c r="D35" s="930"/>
      <c r="E35" s="930"/>
      <c r="F35" s="916"/>
      <c r="G35" s="916"/>
      <c r="H35" s="918">
        <f t="shared" si="0"/>
        <v>973.7</v>
      </c>
    </row>
    <row r="36" spans="1:8">
      <c r="A36" s="931" t="s">
        <v>456</v>
      </c>
      <c r="B36" s="915">
        <v>160.69999999999999</v>
      </c>
      <c r="C36" s="916"/>
      <c r="D36" s="916"/>
      <c r="E36" s="916"/>
      <c r="F36" s="916"/>
      <c r="G36" s="916"/>
      <c r="H36" s="918">
        <f t="shared" si="0"/>
        <v>160.69999999999999</v>
      </c>
    </row>
    <row r="37" spans="1:8">
      <c r="A37" s="931" t="s">
        <v>457</v>
      </c>
      <c r="B37" s="915">
        <v>658.4</v>
      </c>
      <c r="C37" s="916"/>
      <c r="D37" s="916"/>
      <c r="E37" s="916"/>
      <c r="F37" s="916"/>
      <c r="G37" s="916"/>
      <c r="H37" s="918">
        <f t="shared" si="0"/>
        <v>658.4</v>
      </c>
    </row>
    <row r="38" spans="1:8">
      <c r="A38" s="932" t="s">
        <v>458</v>
      </c>
      <c r="B38" s="915">
        <v>6265.4</v>
      </c>
      <c r="C38" s="920">
        <v>523.255</v>
      </c>
      <c r="D38" s="933"/>
      <c r="E38" s="922">
        <v>195.40799999999999</v>
      </c>
      <c r="F38" s="933"/>
      <c r="G38" s="920">
        <v>43.49</v>
      </c>
      <c r="H38" s="918">
        <f t="shared" si="0"/>
        <v>7027.5529999999999</v>
      </c>
    </row>
    <row r="39" spans="1:8" ht="31.5">
      <c r="A39" s="934" t="s">
        <v>463</v>
      </c>
      <c r="B39" s="920">
        <v>20</v>
      </c>
      <c r="C39" s="920"/>
      <c r="D39" s="933"/>
      <c r="E39" s="920"/>
      <c r="F39" s="933"/>
      <c r="G39" s="933"/>
      <c r="H39" s="918">
        <f t="shared" si="0"/>
        <v>20</v>
      </c>
    </row>
    <row r="40" spans="1:8" s="939" customFormat="1" ht="30.75" customHeight="1">
      <c r="A40" s="935" t="s">
        <v>464</v>
      </c>
      <c r="B40" s="936">
        <v>565</v>
      </c>
      <c r="C40" s="937"/>
      <c r="D40" s="937"/>
      <c r="E40" s="937"/>
      <c r="F40" s="937"/>
      <c r="G40" s="937"/>
      <c r="H40" s="938">
        <f t="shared" si="0"/>
        <v>565</v>
      </c>
    </row>
    <row r="41" spans="1:8">
      <c r="A41" s="940" t="s">
        <v>459</v>
      </c>
      <c r="B41" s="941">
        <f>SUM(B5:B40)</f>
        <v>25361.100000000006</v>
      </c>
      <c r="C41" s="941">
        <f t="shared" ref="C41:H41" si="1">SUM(C5:C40)</f>
        <v>2589.8550000000005</v>
      </c>
      <c r="D41" s="941">
        <f t="shared" si="1"/>
        <v>20959.800000000003</v>
      </c>
      <c r="E41" s="941">
        <f t="shared" si="1"/>
        <v>1984.8319999999999</v>
      </c>
      <c r="F41" s="941">
        <f t="shared" si="1"/>
        <v>560.40000000000009</v>
      </c>
      <c r="G41" s="941">
        <f t="shared" si="1"/>
        <v>113.446</v>
      </c>
      <c r="H41" s="941">
        <f t="shared" si="1"/>
        <v>51569.433000000005</v>
      </c>
    </row>
    <row r="43" spans="1:8">
      <c r="B43" s="942"/>
      <c r="C43" s="943"/>
      <c r="D43" s="944"/>
      <c r="E43" s="944"/>
      <c r="H43" s="943"/>
    </row>
    <row r="44" spans="1:8">
      <c r="D44" s="943"/>
    </row>
    <row r="45" spans="1:8">
      <c r="B45" s="944"/>
      <c r="H45" s="943"/>
    </row>
    <row r="47" spans="1:8">
      <c r="B47" s="944"/>
    </row>
  </sheetData>
  <mergeCells count="1">
    <mergeCell ref="A2:H2"/>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Įvardinti diapazonai</vt:lpstr>
      </vt:variant>
      <vt:variant>
        <vt:i4>1</vt:i4>
      </vt:variant>
    </vt:vector>
  </HeadingPairs>
  <TitlesOfParts>
    <vt:vector size="11" baseType="lpstr">
      <vt:lpstr>1 lentelė 002 pr. projektas</vt:lpstr>
      <vt:lpstr>2 lentelė_002 pr. priem.</vt:lpstr>
      <vt:lpstr>3 lentelė_architekt</vt:lpstr>
      <vt:lpstr>4 lentelė_ Soc veikla</vt:lpstr>
      <vt:lpstr>5 lentel_Kultūros vertybių aps.</vt:lpstr>
      <vt:lpstr>6 lentelė_008 programos</vt:lpstr>
      <vt:lpstr>7 lentelė_valstyb. funkcijoms</vt:lpstr>
      <vt:lpstr>8 lentelė_ pajamos, likučiai</vt:lpstr>
      <vt:lpstr>9 lentelė_Darbo užmokestis (2)</vt:lpstr>
      <vt:lpstr>10 lentelė_2025-2026m.</vt:lpstr>
      <vt:lpstr>'8 lentelė_ pajamos, likučiai'!Print_Titles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Dambrauskienė</dc:creator>
  <cp:lastModifiedBy>Monika Dambrauskienė</cp:lastModifiedBy>
  <cp:lastPrinted>2026-01-28T07:07:15Z</cp:lastPrinted>
  <dcterms:created xsi:type="dcterms:W3CDTF">2022-01-19T08:54:22Z</dcterms:created>
  <dcterms:modified xsi:type="dcterms:W3CDTF">2026-01-28T14:16:53Z</dcterms:modified>
</cp:coreProperties>
</file>