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28680" yWindow="-120" windowWidth="29040" windowHeight="15720"/>
  </bookViews>
  <sheets>
    <sheet name="001" sheetId="3" r:id="rId1"/>
    <sheet name="002" sheetId="5" r:id="rId2"/>
    <sheet name="003" sheetId="7" r:id="rId3"/>
    <sheet name="004" sheetId="8" r:id="rId4"/>
    <sheet name="005" sheetId="9" r:id="rId5"/>
    <sheet name="006" sheetId="10" r:id="rId6"/>
    <sheet name="007" sheetId="11" r:id="rId7"/>
    <sheet name="008" sheetId="12" r:id="rId8"/>
    <sheet name="Lapas1" sheetId="13" state="hidden" r:id="rId9"/>
  </sheets>
  <definedNames>
    <definedName name="_xlnm.Print_Area" localSheetId="0">'001'!$A$1:$Q$270</definedName>
    <definedName name="_xlnm.Print_Area" localSheetId="1">'002'!$A$1:$R$88</definedName>
    <definedName name="_xlnm.Print_Area" localSheetId="2">'003'!$A$1:$Q$51</definedName>
    <definedName name="_xlnm.Print_Area" localSheetId="3">'004'!$A$1:$Q$212</definedName>
    <definedName name="_xlnm.Print_Area" localSheetId="4">'005'!$A$1:$Q$47</definedName>
    <definedName name="_xlnm.Print_Area" localSheetId="5">'006'!$A$1:$Q$121</definedName>
    <definedName name="_xlnm.Print_Area" localSheetId="6">'007'!$A$1:$Q$172</definedName>
    <definedName name="_xlnm.Print_Area" localSheetId="7">'008'!$A$1:$Q$57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0" l="1"/>
  <c r="G24" i="9"/>
  <c r="G107" i="8"/>
  <c r="G116" i="8"/>
  <c r="G133" i="8"/>
  <c r="G113" i="3"/>
  <c r="G114" i="3"/>
  <c r="G170" i="3"/>
  <c r="G162" i="3"/>
  <c r="G154" i="3"/>
  <c r="G146" i="3"/>
  <c r="G138" i="3"/>
  <c r="G130" i="3"/>
  <c r="G83" i="3"/>
  <c r="G44" i="3"/>
  <c r="G73" i="3"/>
  <c r="G29" i="3"/>
  <c r="G29" i="5" l="1"/>
  <c r="F91" i="5" l="1"/>
  <c r="H91" i="5"/>
  <c r="G73" i="8"/>
  <c r="F73" i="8"/>
  <c r="G195" i="8" l="1"/>
  <c r="G187" i="8"/>
  <c r="G188" i="8" s="1"/>
  <c r="G189" i="8" s="1"/>
  <c r="G176" i="8"/>
  <c r="G177" i="8" s="1"/>
  <c r="G178" i="8" s="1"/>
  <c r="G168" i="8"/>
  <c r="G165" i="8"/>
  <c r="G157" i="8"/>
  <c r="G153" i="8"/>
  <c r="G145" i="8"/>
  <c r="G146" i="8" s="1"/>
  <c r="G134" i="8"/>
  <c r="G131" i="8"/>
  <c r="G126" i="8"/>
  <c r="G119" i="8"/>
  <c r="G120" i="8" s="1"/>
  <c r="G113" i="8"/>
  <c r="G110" i="8"/>
  <c r="G91" i="8"/>
  <c r="G87" i="8"/>
  <c r="G83" i="8"/>
  <c r="G79" i="8"/>
  <c r="G76" i="8"/>
  <c r="H76" i="8"/>
  <c r="I76" i="8"/>
  <c r="G66" i="8"/>
  <c r="G53" i="8"/>
  <c r="G50" i="8"/>
  <c r="G45" i="8"/>
  <c r="G42" i="8"/>
  <c r="G34" i="8"/>
  <c r="G30" i="8"/>
  <c r="G24" i="8"/>
  <c r="G20" i="8"/>
  <c r="G196" i="8"/>
  <c r="G197" i="8" s="1"/>
  <c r="G127" i="8"/>
  <c r="G205" i="8"/>
  <c r="G158" i="8" l="1"/>
  <c r="G135" i="8"/>
  <c r="G211" i="8"/>
  <c r="G169" i="8"/>
  <c r="G170" i="8" s="1"/>
  <c r="G159" i="8"/>
  <c r="G123" i="3" l="1"/>
  <c r="H123" i="3" s="1"/>
  <c r="I123" i="3" s="1"/>
  <c r="G84" i="3"/>
  <c r="G54" i="3"/>
  <c r="H54" i="3" s="1"/>
  <c r="I54" i="3" s="1"/>
  <c r="H39" i="12"/>
  <c r="I39" i="12" s="1"/>
  <c r="H36" i="12"/>
  <c r="I36" i="12" s="1"/>
  <c r="H33" i="12"/>
  <c r="I33" i="12" s="1"/>
  <c r="H30" i="12"/>
  <c r="I30" i="12" s="1"/>
  <c r="H29" i="12"/>
  <c r="I29" i="12" s="1"/>
  <c r="H26" i="12"/>
  <c r="I26" i="12" s="1"/>
  <c r="H25" i="12"/>
  <c r="I25" i="12" s="1"/>
  <c r="H22" i="12"/>
  <c r="I22" i="12" s="1"/>
  <c r="I19" i="12"/>
  <c r="H19" i="12"/>
  <c r="H154" i="11"/>
  <c r="I154" i="11" s="1"/>
  <c r="H150" i="11"/>
  <c r="I150" i="11" s="1"/>
  <c r="H144" i="11"/>
  <c r="I144" i="11" s="1"/>
  <c r="H137" i="11"/>
  <c r="I137" i="11" s="1"/>
  <c r="H130" i="11"/>
  <c r="I130" i="11" s="1"/>
  <c r="H120" i="11"/>
  <c r="I120" i="11" s="1"/>
  <c r="H114" i="11"/>
  <c r="I114" i="11" s="1"/>
  <c r="H111" i="11"/>
  <c r="I111" i="11" s="1"/>
  <c r="H106" i="11"/>
  <c r="I106" i="11" s="1"/>
  <c r="H102" i="11"/>
  <c r="I102" i="11" s="1"/>
  <c r="H99" i="11"/>
  <c r="I99" i="11" s="1"/>
  <c r="H96" i="11"/>
  <c r="I96" i="11" s="1"/>
  <c r="H93" i="11"/>
  <c r="I93" i="11" s="1"/>
  <c r="H88" i="11"/>
  <c r="I88" i="11" s="1"/>
  <c r="H85" i="11"/>
  <c r="I85" i="11" s="1"/>
  <c r="H82" i="11"/>
  <c r="I82" i="11" s="1"/>
  <c r="H81" i="11"/>
  <c r="I81" i="11" s="1"/>
  <c r="H74" i="11"/>
  <c r="I74" i="11" s="1"/>
  <c r="H71" i="11"/>
  <c r="I71" i="11" s="1"/>
  <c r="H68" i="11"/>
  <c r="I68" i="11" s="1"/>
  <c r="H65" i="11"/>
  <c r="I65" i="11" s="1"/>
  <c r="H60" i="11"/>
  <c r="I60" i="11" s="1"/>
  <c r="H57" i="11"/>
  <c r="I57" i="11" s="1"/>
  <c r="H54" i="11"/>
  <c r="I54" i="11" s="1"/>
  <c r="H49" i="11"/>
  <c r="I49" i="11" s="1"/>
  <c r="H46" i="11"/>
  <c r="I46" i="11" s="1"/>
  <c r="H45" i="11"/>
  <c r="I45" i="11" s="1"/>
  <c r="H44" i="11"/>
  <c r="I44" i="11" s="1"/>
  <c r="I40" i="11"/>
  <c r="H40" i="11"/>
  <c r="H39" i="11"/>
  <c r="I39" i="11" s="1"/>
  <c r="H31" i="11"/>
  <c r="I31" i="11" s="1"/>
  <c r="I25" i="11"/>
  <c r="H25" i="11"/>
  <c r="H24" i="11"/>
  <c r="I24" i="11" s="1"/>
  <c r="H19" i="11"/>
  <c r="I19" i="11" s="1"/>
  <c r="I103" i="10"/>
  <c r="H103" i="10"/>
  <c r="H95" i="10"/>
  <c r="I95" i="10" s="1"/>
  <c r="H92" i="10"/>
  <c r="I92" i="10" s="1"/>
  <c r="H89" i="10"/>
  <c r="I89" i="10" s="1"/>
  <c r="H86" i="10"/>
  <c r="I86" i="10" s="1"/>
  <c r="H83" i="10"/>
  <c r="I83" i="10" s="1"/>
  <c r="H76" i="10"/>
  <c r="I76" i="10" s="1"/>
  <c r="I73" i="10"/>
  <c r="H73" i="10"/>
  <c r="H72" i="10"/>
  <c r="I72" i="10" s="1"/>
  <c r="H66" i="10"/>
  <c r="I66" i="10" s="1"/>
  <c r="H65" i="10"/>
  <c r="I65" i="10" s="1"/>
  <c r="H59" i="10"/>
  <c r="I59" i="10" s="1"/>
  <c r="H58" i="10"/>
  <c r="I58" i="10" s="1"/>
  <c r="H57" i="10"/>
  <c r="I57" i="10" s="1"/>
  <c r="H46" i="10"/>
  <c r="I46" i="10" s="1"/>
  <c r="H45" i="10"/>
  <c r="I45" i="10" s="1"/>
  <c r="H40" i="10"/>
  <c r="I40" i="10" s="1"/>
  <c r="H39" i="10"/>
  <c r="I39" i="10" s="1"/>
  <c r="H34" i="10"/>
  <c r="I34" i="10" s="1"/>
  <c r="H33" i="10"/>
  <c r="I33" i="10" s="1"/>
  <c r="H28" i="10"/>
  <c r="I28" i="10" s="1"/>
  <c r="H27" i="10"/>
  <c r="I27" i="10" s="1"/>
  <c r="H22" i="10"/>
  <c r="I22" i="10" s="1"/>
  <c r="H21" i="10"/>
  <c r="I21" i="10" s="1"/>
  <c r="H29" i="9"/>
  <c r="I29" i="9" s="1"/>
  <c r="H24" i="9"/>
  <c r="I24" i="9" s="1"/>
  <c r="H194" i="8"/>
  <c r="H186" i="8"/>
  <c r="H175" i="8"/>
  <c r="H167" i="8"/>
  <c r="H164" i="8"/>
  <c r="I164" i="8" s="1"/>
  <c r="H163" i="8"/>
  <c r="H156" i="8"/>
  <c r="H152" i="8"/>
  <c r="I152" i="8" s="1"/>
  <c r="H151" i="8"/>
  <c r="H144" i="8"/>
  <c r="H133" i="8"/>
  <c r="H130" i="8"/>
  <c r="H125" i="8"/>
  <c r="H118" i="8"/>
  <c r="I118" i="8" s="1"/>
  <c r="H117" i="8"/>
  <c r="H116" i="8"/>
  <c r="I116" i="8" s="1"/>
  <c r="H112" i="8"/>
  <c r="H109" i="8"/>
  <c r="H108" i="8"/>
  <c r="I108" i="8" s="1"/>
  <c r="H107" i="8"/>
  <c r="H90" i="8"/>
  <c r="H86" i="8"/>
  <c r="I86" i="8" s="1"/>
  <c r="H85" i="8"/>
  <c r="H82" i="8"/>
  <c r="I82" i="8" s="1"/>
  <c r="H81" i="8"/>
  <c r="H78" i="8"/>
  <c r="H72" i="8"/>
  <c r="I72" i="8" s="1"/>
  <c r="H71" i="8"/>
  <c r="H65" i="8"/>
  <c r="I65" i="8" s="1"/>
  <c r="H64" i="8"/>
  <c r="H52" i="8"/>
  <c r="H49" i="8"/>
  <c r="H44" i="8"/>
  <c r="H41" i="8"/>
  <c r="H33" i="8"/>
  <c r="I33" i="8" s="1"/>
  <c r="H32" i="8"/>
  <c r="H29" i="8"/>
  <c r="I29" i="8" s="1"/>
  <c r="H28" i="8"/>
  <c r="H23" i="8"/>
  <c r="H19" i="8"/>
  <c r="H33" i="7"/>
  <c r="I33" i="7" s="1"/>
  <c r="H30" i="7"/>
  <c r="I30" i="7" s="1"/>
  <c r="H26" i="7"/>
  <c r="I26" i="7" s="1"/>
  <c r="H22" i="7"/>
  <c r="I22" i="7" s="1"/>
  <c r="H21" i="7"/>
  <c r="I21" i="7" s="1"/>
  <c r="H60" i="5"/>
  <c r="I60" i="5" s="1"/>
  <c r="H57" i="5"/>
  <c r="I57" i="5" s="1"/>
  <c r="H54" i="5"/>
  <c r="I54" i="5" s="1"/>
  <c r="H53" i="5"/>
  <c r="I53" i="5" s="1"/>
  <c r="H50" i="5"/>
  <c r="I50" i="5" s="1"/>
  <c r="H45" i="5"/>
  <c r="I45" i="5" s="1"/>
  <c r="H42" i="5"/>
  <c r="I42" i="5" s="1"/>
  <c r="H17" i="5"/>
  <c r="I17" i="5" s="1"/>
  <c r="I252" i="3"/>
  <c r="H252" i="3"/>
  <c r="H249" i="3"/>
  <c r="I249" i="3" s="1"/>
  <c r="H246" i="3"/>
  <c r="I246" i="3" s="1"/>
  <c r="H243" i="3"/>
  <c r="I243" i="3" s="1"/>
  <c r="H239" i="3"/>
  <c r="I239" i="3" s="1"/>
  <c r="H232" i="3"/>
  <c r="I232" i="3" s="1"/>
  <c r="H224" i="3"/>
  <c r="I224" i="3" s="1"/>
  <c r="H220" i="3"/>
  <c r="I220" i="3" s="1"/>
  <c r="H219" i="3"/>
  <c r="I219" i="3" s="1"/>
  <c r="I208" i="3"/>
  <c r="H208" i="3"/>
  <c r="H205" i="3"/>
  <c r="I205" i="3" s="1"/>
  <c r="H201" i="3"/>
  <c r="I201" i="3" s="1"/>
  <c r="H197" i="3"/>
  <c r="I197" i="3" s="1"/>
  <c r="H196" i="3"/>
  <c r="I196" i="3" s="1"/>
  <c r="H192" i="3"/>
  <c r="I192" i="3" s="1"/>
  <c r="H186" i="3"/>
  <c r="I186" i="3" s="1"/>
  <c r="H172" i="3"/>
  <c r="I172" i="3" s="1"/>
  <c r="H171" i="3"/>
  <c r="I171" i="3" s="1"/>
  <c r="H170" i="3"/>
  <c r="I170" i="3" s="1"/>
  <c r="I164" i="3"/>
  <c r="H164" i="3"/>
  <c r="H163" i="3"/>
  <c r="I163" i="3" s="1"/>
  <c r="H162" i="3"/>
  <c r="I162" i="3" s="1"/>
  <c r="H156" i="3"/>
  <c r="I156" i="3" s="1"/>
  <c r="H155" i="3"/>
  <c r="I155" i="3" s="1"/>
  <c r="H154" i="3"/>
  <c r="I154" i="3" s="1"/>
  <c r="H148" i="3"/>
  <c r="I148" i="3" s="1"/>
  <c r="H147" i="3"/>
  <c r="I147" i="3" s="1"/>
  <c r="H146" i="3"/>
  <c r="I146" i="3" s="1"/>
  <c r="H140" i="3"/>
  <c r="I140" i="3" s="1"/>
  <c r="H139" i="3"/>
  <c r="I139" i="3" s="1"/>
  <c r="H138" i="3"/>
  <c r="I138" i="3" s="1"/>
  <c r="H132" i="3"/>
  <c r="I132" i="3" s="1"/>
  <c r="H131" i="3"/>
  <c r="I131" i="3" s="1"/>
  <c r="H130" i="3"/>
  <c r="I130" i="3" s="1"/>
  <c r="H124" i="3"/>
  <c r="I124" i="3" s="1"/>
  <c r="H122" i="3"/>
  <c r="I122" i="3" s="1"/>
  <c r="H115" i="3"/>
  <c r="I115" i="3" s="1"/>
  <c r="H114" i="3"/>
  <c r="I114" i="3" s="1"/>
  <c r="H113" i="3"/>
  <c r="I113" i="3" s="1"/>
  <c r="H105" i="3"/>
  <c r="I105" i="3" s="1"/>
  <c r="H104" i="3"/>
  <c r="I104" i="3" s="1"/>
  <c r="H103" i="3"/>
  <c r="I103" i="3" s="1"/>
  <c r="H95" i="3"/>
  <c r="I95" i="3" s="1"/>
  <c r="H94" i="3"/>
  <c r="I94" i="3" s="1"/>
  <c r="H93" i="3"/>
  <c r="I93" i="3" s="1"/>
  <c r="H85" i="3"/>
  <c r="I85" i="3" s="1"/>
  <c r="H84" i="3"/>
  <c r="I84" i="3" s="1"/>
  <c r="H83" i="3"/>
  <c r="I83" i="3" s="1"/>
  <c r="H75" i="3"/>
  <c r="I75" i="3" s="1"/>
  <c r="H74" i="3"/>
  <c r="I74" i="3" s="1"/>
  <c r="H73" i="3"/>
  <c r="I73" i="3" s="1"/>
  <c r="H65" i="3"/>
  <c r="I65" i="3" s="1"/>
  <c r="H64" i="3"/>
  <c r="I64" i="3" s="1"/>
  <c r="H63" i="3"/>
  <c r="I63" i="3" s="1"/>
  <c r="H55" i="3"/>
  <c r="I55" i="3" s="1"/>
  <c r="H53" i="3"/>
  <c r="I53" i="3" s="1"/>
  <c r="H46" i="3"/>
  <c r="I46" i="3" s="1"/>
  <c r="H45" i="3"/>
  <c r="I45" i="3" s="1"/>
  <c r="H44" i="3"/>
  <c r="I44" i="3" s="1"/>
  <c r="H30" i="3"/>
  <c r="I30" i="3" s="1"/>
  <c r="H31" i="3"/>
  <c r="I31" i="3"/>
  <c r="H29" i="3"/>
  <c r="I29" i="3" s="1"/>
  <c r="I64" i="8" l="1"/>
  <c r="I66" i="8" s="1"/>
  <c r="H66" i="8"/>
  <c r="I112" i="8"/>
  <c r="I113" i="8" s="1"/>
  <c r="H113" i="8"/>
  <c r="I167" i="8"/>
  <c r="I168" i="8" s="1"/>
  <c r="H168" i="8"/>
  <c r="I175" i="8"/>
  <c r="I176" i="8" s="1"/>
  <c r="I177" i="8" s="1"/>
  <c r="I178" i="8" s="1"/>
  <c r="H176" i="8"/>
  <c r="H177" i="8" s="1"/>
  <c r="H178" i="8" s="1"/>
  <c r="I186" i="8"/>
  <c r="I187" i="8" s="1"/>
  <c r="I188" i="8" s="1"/>
  <c r="I189" i="8" s="1"/>
  <c r="H187" i="8"/>
  <c r="H188" i="8" s="1"/>
  <c r="H189" i="8" s="1"/>
  <c r="I194" i="8"/>
  <c r="I195" i="8" s="1"/>
  <c r="I196" i="8" s="1"/>
  <c r="I197" i="8" s="1"/>
  <c r="H195" i="8"/>
  <c r="H196" i="8" s="1"/>
  <c r="H197" i="8" s="1"/>
  <c r="I23" i="8"/>
  <c r="I24" i="8" s="1"/>
  <c r="H24" i="8"/>
  <c r="I78" i="8"/>
  <c r="I79" i="8" s="1"/>
  <c r="H79" i="8"/>
  <c r="I28" i="8"/>
  <c r="I30" i="8" s="1"/>
  <c r="H30" i="8"/>
  <c r="I81" i="8"/>
  <c r="I83" i="8" s="1"/>
  <c r="H83" i="8"/>
  <c r="I125" i="8"/>
  <c r="I126" i="8" s="1"/>
  <c r="I127" i="8" s="1"/>
  <c r="H126" i="8"/>
  <c r="H127" i="8" s="1"/>
  <c r="I49" i="8"/>
  <c r="I50" i="8" s="1"/>
  <c r="H50" i="8"/>
  <c r="I156" i="8"/>
  <c r="I157" i="8" s="1"/>
  <c r="H157" i="8"/>
  <c r="I163" i="8"/>
  <c r="I165" i="8" s="1"/>
  <c r="H165" i="8"/>
  <c r="H169" i="8" s="1"/>
  <c r="H170" i="8" s="1"/>
  <c r="I109" i="8"/>
  <c r="I205" i="8" s="1"/>
  <c r="H205" i="8"/>
  <c r="I19" i="8"/>
  <c r="I20" i="8" s="1"/>
  <c r="H20" i="8"/>
  <c r="I130" i="8"/>
  <c r="I131" i="8" s="1"/>
  <c r="H131" i="8"/>
  <c r="I32" i="8"/>
  <c r="I34" i="8" s="1"/>
  <c r="H34" i="8"/>
  <c r="I85" i="8"/>
  <c r="I87" i="8" s="1"/>
  <c r="H87" i="8"/>
  <c r="I144" i="8"/>
  <c r="I145" i="8" s="1"/>
  <c r="H145" i="8"/>
  <c r="I41" i="8"/>
  <c r="I42" i="8" s="1"/>
  <c r="H42" i="8"/>
  <c r="I90" i="8"/>
  <c r="I91" i="8" s="1"/>
  <c r="H91" i="8"/>
  <c r="I151" i="8"/>
  <c r="I153" i="8" s="1"/>
  <c r="H153" i="8"/>
  <c r="I52" i="8"/>
  <c r="I53" i="8" s="1"/>
  <c r="H53" i="8"/>
  <c r="I44" i="8"/>
  <c r="I45" i="8" s="1"/>
  <c r="H45" i="8"/>
  <c r="I107" i="8"/>
  <c r="I110" i="8" s="1"/>
  <c r="H110" i="8"/>
  <c r="I133" i="8"/>
  <c r="I134" i="8" s="1"/>
  <c r="I135" i="8" s="1"/>
  <c r="H134" i="8"/>
  <c r="H135" i="8" s="1"/>
  <c r="I71" i="8"/>
  <c r="H73" i="8"/>
  <c r="I117" i="8"/>
  <c r="H119" i="8"/>
  <c r="G93" i="8"/>
  <c r="G25" i="11"/>
  <c r="G36" i="12"/>
  <c r="G39" i="11"/>
  <c r="G44" i="11"/>
  <c r="G46" i="10"/>
  <c r="G45" i="10"/>
  <c r="G39" i="10"/>
  <c r="G33" i="10"/>
  <c r="G27" i="10"/>
  <c r="G65" i="10"/>
  <c r="G21" i="10"/>
  <c r="G22" i="10"/>
  <c r="G61" i="8"/>
  <c r="F62" i="8"/>
  <c r="G37" i="5"/>
  <c r="G30" i="5"/>
  <c r="G21" i="5"/>
  <c r="G24" i="5"/>
  <c r="G124" i="3"/>
  <c r="G122" i="3"/>
  <c r="G63" i="3"/>
  <c r="G93" i="3"/>
  <c r="G46" i="3"/>
  <c r="H148" i="11"/>
  <c r="G36" i="5"/>
  <c r="G34" i="5"/>
  <c r="H146" i="8" l="1"/>
  <c r="H211" i="8"/>
  <c r="I146" i="8"/>
  <c r="I211" i="8"/>
  <c r="G203" i="8"/>
  <c r="G62" i="8"/>
  <c r="H61" i="8"/>
  <c r="G204" i="8"/>
  <c r="G94" i="8"/>
  <c r="G95" i="8" s="1"/>
  <c r="G136" i="8" s="1"/>
  <c r="G198" i="8" s="1"/>
  <c r="H93" i="8"/>
  <c r="I169" i="8"/>
  <c r="I170" i="8" s="1"/>
  <c r="H158" i="8"/>
  <c r="H159" i="8" s="1"/>
  <c r="I158" i="8"/>
  <c r="H120" i="8"/>
  <c r="I73" i="8"/>
  <c r="I119" i="8"/>
  <c r="I120" i="8" s="1"/>
  <c r="G261" i="3"/>
  <c r="H261" i="3"/>
  <c r="I261" i="3"/>
  <c r="F261" i="3"/>
  <c r="I93" i="8" l="1"/>
  <c r="H94" i="8"/>
  <c r="H204" i="8"/>
  <c r="I61" i="8"/>
  <c r="H62" i="8"/>
  <c r="H203" i="8"/>
  <c r="G209" i="8"/>
  <c r="I159" i="8"/>
  <c r="I253" i="3"/>
  <c r="H253" i="3"/>
  <c r="G253" i="3"/>
  <c r="F253" i="3"/>
  <c r="I62" i="8" l="1"/>
  <c r="I203" i="8"/>
  <c r="H209" i="8"/>
  <c r="H95" i="8"/>
  <c r="H136" i="8" s="1"/>
  <c r="H198" i="8" s="1"/>
  <c r="I94" i="8"/>
  <c r="I95" i="8" s="1"/>
  <c r="I136" i="8" s="1"/>
  <c r="I198" i="8" s="1"/>
  <c r="I204" i="8"/>
  <c r="R253" i="3"/>
  <c r="H214" i="8" l="1"/>
  <c r="I209" i="8"/>
  <c r="I209" i="3"/>
  <c r="H209" i="3"/>
  <c r="G209" i="3"/>
  <c r="F209" i="3"/>
  <c r="R209" i="3" l="1"/>
  <c r="G80" i="5" l="1"/>
  <c r="H80" i="5"/>
  <c r="I80" i="5"/>
  <c r="F80" i="5"/>
  <c r="G79" i="5"/>
  <c r="H79" i="5"/>
  <c r="I79" i="5"/>
  <c r="F79" i="5"/>
  <c r="I61" i="5"/>
  <c r="H61" i="5"/>
  <c r="G61" i="5"/>
  <c r="F61" i="5"/>
  <c r="R61" i="5" l="1"/>
  <c r="H96" i="3"/>
  <c r="I96" i="3"/>
  <c r="F25" i="11" l="1"/>
  <c r="F24" i="11"/>
  <c r="F22" i="10"/>
  <c r="F24" i="9"/>
  <c r="F164" i="8"/>
  <c r="F133" i="8"/>
  <c r="F29" i="8"/>
  <c r="F204" i="8" s="1"/>
  <c r="F22" i="7"/>
  <c r="F21" i="5"/>
  <c r="F124" i="3"/>
  <c r="F114" i="3"/>
  <c r="F84" i="3"/>
  <c r="F54" i="3"/>
  <c r="F46" i="3"/>
  <c r="F30" i="8" l="1"/>
  <c r="F36" i="12"/>
  <c r="F75" i="8"/>
  <c r="F203" i="8" s="1"/>
  <c r="G262" i="3"/>
  <c r="H262" i="3"/>
  <c r="I262" i="3"/>
  <c r="G263" i="3"/>
  <c r="H263" i="3"/>
  <c r="I263" i="3"/>
  <c r="F263" i="3"/>
  <c r="F262" i="3"/>
  <c r="Q4" i="12" l="1"/>
  <c r="F87" i="8" l="1"/>
  <c r="Q5" i="12" l="1"/>
  <c r="Q4" i="11"/>
  <c r="Q5" i="11"/>
  <c r="Q4" i="10"/>
  <c r="Q5" i="10"/>
  <c r="Q4" i="9"/>
  <c r="Q5" i="9"/>
  <c r="Q4" i="8"/>
  <c r="Q5" i="8"/>
  <c r="Q4" i="7"/>
  <c r="Q5" i="7"/>
  <c r="Q4" i="5"/>
  <c r="Q5" i="5"/>
  <c r="H32" i="3" l="1"/>
  <c r="H37" i="3"/>
  <c r="H47" i="3"/>
  <c r="H66" i="3"/>
  <c r="H76" i="3"/>
  <c r="H86" i="3"/>
  <c r="H106" i="3"/>
  <c r="H116" i="3"/>
  <c r="H125" i="3"/>
  <c r="H133" i="3"/>
  <c r="H141" i="3"/>
  <c r="H149" i="3"/>
  <c r="H157" i="3"/>
  <c r="H165" i="3"/>
  <c r="H173" i="3"/>
  <c r="H178" i="3"/>
  <c r="H269" i="3" s="1"/>
  <c r="H187" i="3"/>
  <c r="H188" i="3" s="1"/>
  <c r="H193" i="3"/>
  <c r="H198" i="3"/>
  <c r="H202" i="3"/>
  <c r="H206" i="3"/>
  <c r="H221" i="3"/>
  <c r="H225" i="3"/>
  <c r="H233" i="3"/>
  <c r="H234" i="3" s="1"/>
  <c r="H235" i="3" s="1"/>
  <c r="H240" i="3"/>
  <c r="H244" i="3"/>
  <c r="H247" i="3"/>
  <c r="H250" i="3"/>
  <c r="H210" i="3" l="1"/>
  <c r="H211" i="3" s="1"/>
  <c r="H254" i="3"/>
  <c r="H179" i="3"/>
  <c r="H255" i="3"/>
  <c r="H226" i="3"/>
  <c r="H227" i="3" s="1"/>
  <c r="H56" i="3"/>
  <c r="H174" i="3" l="1"/>
  <c r="H180" i="3" s="1"/>
  <c r="H256" i="3" s="1"/>
  <c r="H270" i="3" s="1"/>
  <c r="H267" i="3"/>
  <c r="H273" i="3" l="1"/>
  <c r="H272" i="3"/>
  <c r="R151" i="11" l="1"/>
  <c r="R137" i="11"/>
  <c r="G164" i="11" l="1"/>
  <c r="I164" i="11" l="1"/>
  <c r="H164" i="11"/>
  <c r="F164" i="11"/>
  <c r="G20" i="11"/>
  <c r="H20" i="11"/>
  <c r="I20" i="11"/>
  <c r="G113" i="10"/>
  <c r="H113" i="10"/>
  <c r="I113" i="10"/>
  <c r="F113" i="10"/>
  <c r="G83" i="5" l="1"/>
  <c r="H83" i="5"/>
  <c r="I83" i="5"/>
  <c r="F83" i="5"/>
  <c r="F110" i="8" l="1"/>
  <c r="F83" i="8" l="1"/>
  <c r="F244" i="3" l="1"/>
  <c r="F168" i="8" l="1"/>
  <c r="R168" i="8" l="1"/>
  <c r="F94" i="8" l="1"/>
  <c r="R94" i="8" l="1"/>
  <c r="G112" i="10" l="1"/>
  <c r="H112" i="10"/>
  <c r="I112" i="10"/>
  <c r="F112" i="10"/>
  <c r="I138" i="11" l="1"/>
  <c r="I139" i="11" s="1"/>
  <c r="H138" i="11"/>
  <c r="H139" i="11" s="1"/>
  <c r="G138" i="11"/>
  <c r="G139" i="11" s="1"/>
  <c r="F138" i="11"/>
  <c r="F139" i="11" s="1"/>
  <c r="I104" i="10" l="1"/>
  <c r="I105" i="10" s="1"/>
  <c r="I106" i="10" s="1"/>
  <c r="H104" i="10"/>
  <c r="H105" i="10" s="1"/>
  <c r="H106" i="10" s="1"/>
  <c r="G104" i="10"/>
  <c r="F104" i="10"/>
  <c r="F105" i="10" s="1"/>
  <c r="F106" i="10" s="1"/>
  <c r="R104" i="10" l="1"/>
  <c r="G105" i="10"/>
  <c r="G106" i="10" s="1"/>
  <c r="G41" i="9" l="1"/>
  <c r="H41" i="9"/>
  <c r="I41" i="9"/>
  <c r="I84" i="5" l="1"/>
  <c r="H84" i="5"/>
  <c r="G84" i="5"/>
  <c r="F84" i="5"/>
  <c r="I71" i="5"/>
  <c r="H71" i="5"/>
  <c r="G71" i="5"/>
  <c r="G72" i="5" s="1"/>
  <c r="G73" i="5" s="1"/>
  <c r="F71" i="5"/>
  <c r="F72" i="5" s="1"/>
  <c r="F73" i="5" s="1"/>
  <c r="I58" i="5"/>
  <c r="H58" i="5"/>
  <c r="G58" i="5"/>
  <c r="F58" i="5"/>
  <c r="I55" i="5"/>
  <c r="H55" i="5"/>
  <c r="G55" i="5"/>
  <c r="F55" i="5"/>
  <c r="I51" i="5"/>
  <c r="H51" i="5"/>
  <c r="G51" i="5"/>
  <c r="F51" i="5"/>
  <c r="I46" i="5"/>
  <c r="H46" i="5"/>
  <c r="G46" i="5"/>
  <c r="F46" i="5"/>
  <c r="I43" i="5"/>
  <c r="H43" i="5"/>
  <c r="G43" i="5"/>
  <c r="G47" i="5" s="1"/>
  <c r="F43" i="5"/>
  <c r="F47" i="5" s="1"/>
  <c r="I38" i="5"/>
  <c r="H38" i="5"/>
  <c r="G38" i="5"/>
  <c r="F38" i="5"/>
  <c r="I31" i="5"/>
  <c r="I86" i="5" s="1"/>
  <c r="H31" i="5"/>
  <c r="H86" i="5" s="1"/>
  <c r="G31" i="5"/>
  <c r="G86" i="5" s="1"/>
  <c r="F31" i="5"/>
  <c r="F86" i="5" s="1"/>
  <c r="I26" i="5"/>
  <c r="H26" i="5"/>
  <c r="I22" i="5"/>
  <c r="H22" i="5"/>
  <c r="G22" i="5"/>
  <c r="F22" i="5"/>
  <c r="I18" i="5"/>
  <c r="H18" i="5"/>
  <c r="G18" i="5"/>
  <c r="F18" i="5"/>
  <c r="F62" i="5" l="1"/>
  <c r="H62" i="5"/>
  <c r="I62" i="5"/>
  <c r="G62" i="5"/>
  <c r="H88" i="5"/>
  <c r="I47" i="5"/>
  <c r="I88" i="5"/>
  <c r="H39" i="5"/>
  <c r="H85" i="5"/>
  <c r="I85" i="5"/>
  <c r="R46" i="5"/>
  <c r="R38" i="5"/>
  <c r="R58" i="5"/>
  <c r="I39" i="5"/>
  <c r="H47" i="5"/>
  <c r="F87" i="5"/>
  <c r="F85" i="5"/>
  <c r="R22" i="5"/>
  <c r="I87" i="5"/>
  <c r="H87" i="5"/>
  <c r="G85" i="5"/>
  <c r="G87" i="5"/>
  <c r="R55" i="5"/>
  <c r="H72" i="5"/>
  <c r="H73" i="5" s="1"/>
  <c r="R43" i="5"/>
  <c r="I72" i="5"/>
  <c r="I73" i="5" s="1"/>
  <c r="R18" i="5"/>
  <c r="F26" i="5"/>
  <c r="F88" i="5" s="1"/>
  <c r="G26" i="5"/>
  <c r="G39" i="5" s="1"/>
  <c r="R31" i="5"/>
  <c r="R51" i="5"/>
  <c r="G88" i="5" l="1"/>
  <c r="G63" i="5"/>
  <c r="G74" i="5" s="1"/>
  <c r="G90" i="5" s="1"/>
  <c r="H63" i="5"/>
  <c r="H74" i="5" s="1"/>
  <c r="H90" i="5" s="1"/>
  <c r="I63" i="5"/>
  <c r="I74" i="5" s="1"/>
  <c r="I90" i="5" s="1"/>
  <c r="F39" i="5"/>
  <c r="F63" i="5" s="1"/>
  <c r="F74" i="5" s="1"/>
  <c r="F90" i="5" s="1"/>
  <c r="R26" i="5"/>
  <c r="I91" i="5" l="1"/>
  <c r="G91" i="5"/>
  <c r="I96" i="10"/>
  <c r="H96" i="10"/>
  <c r="G96" i="10"/>
  <c r="F96" i="10"/>
  <c r="R96" i="10" l="1"/>
  <c r="F41" i="9" l="1"/>
  <c r="F119" i="8" l="1"/>
  <c r="F205" i="8"/>
  <c r="G221" i="3"/>
  <c r="I221" i="3"/>
  <c r="F221" i="3"/>
  <c r="F209" i="8" l="1"/>
  <c r="R155" i="11"/>
  <c r="I155" i="11"/>
  <c r="H155" i="11"/>
  <c r="G155" i="11"/>
  <c r="F155" i="11"/>
  <c r="I178" i="3" l="1"/>
  <c r="G178" i="3"/>
  <c r="G269" i="3" s="1"/>
  <c r="F178" i="3"/>
  <c r="F179" i="3" l="1"/>
  <c r="F269" i="3"/>
  <c r="I179" i="3"/>
  <c r="I269" i="3"/>
  <c r="G179" i="3"/>
  <c r="R178" i="3"/>
  <c r="F91" i="8"/>
  <c r="R87" i="8" l="1"/>
  <c r="R91" i="8"/>
  <c r="F267" i="3" l="1"/>
  <c r="R13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3" i="12"/>
  <c r="B13" i="12"/>
  <c r="A13" i="12"/>
  <c r="P12" i="12"/>
  <c r="O12" i="12"/>
  <c r="N12" i="12"/>
  <c r="M12" i="12"/>
  <c r="L12" i="12"/>
  <c r="C12" i="12"/>
  <c r="B12" i="12"/>
  <c r="A12" i="12"/>
  <c r="R11" i="12"/>
  <c r="Q11" i="12"/>
  <c r="N11" i="12"/>
  <c r="L11" i="12"/>
  <c r="K11" i="12"/>
  <c r="J11" i="12"/>
  <c r="I11" i="12"/>
  <c r="H11" i="12"/>
  <c r="G11" i="12"/>
  <c r="F11" i="12"/>
  <c r="E11" i="12"/>
  <c r="D11" i="12"/>
  <c r="A11" i="12"/>
  <c r="Q2" i="12"/>
  <c r="Q3" i="12"/>
  <c r="Q6" i="12"/>
  <c r="Q7" i="12"/>
  <c r="Q1" i="12"/>
  <c r="F20" i="12"/>
  <c r="G20" i="12"/>
  <c r="H20" i="12"/>
  <c r="I20" i="12"/>
  <c r="F23" i="12"/>
  <c r="G23" i="12"/>
  <c r="H23" i="12"/>
  <c r="I23" i="12"/>
  <c r="F27" i="12"/>
  <c r="G27" i="12"/>
  <c r="H27" i="12"/>
  <c r="I27" i="12"/>
  <c r="F31" i="12"/>
  <c r="G31" i="12"/>
  <c r="H31" i="12"/>
  <c r="I31" i="12"/>
  <c r="F34" i="12"/>
  <c r="G34" i="12"/>
  <c r="H34" i="12"/>
  <c r="I34" i="12"/>
  <c r="G37" i="12"/>
  <c r="F37" i="12"/>
  <c r="H37" i="12"/>
  <c r="I37" i="12"/>
  <c r="F40" i="12"/>
  <c r="G40" i="12"/>
  <c r="H40" i="12"/>
  <c r="I40" i="12"/>
  <c r="F48" i="12"/>
  <c r="G48" i="12"/>
  <c r="H48" i="12"/>
  <c r="I48" i="12"/>
  <c r="F49" i="12"/>
  <c r="G49" i="12"/>
  <c r="H49" i="12"/>
  <c r="I49" i="12"/>
  <c r="F50" i="12"/>
  <c r="H50" i="12"/>
  <c r="I50" i="12"/>
  <c r="S23" i="12" l="1"/>
  <c r="H56" i="12"/>
  <c r="G50" i="12"/>
  <c r="R34" i="12"/>
  <c r="G56" i="12"/>
  <c r="F56" i="12"/>
  <c r="I56" i="12"/>
  <c r="H41" i="12"/>
  <c r="H42" i="12" s="1"/>
  <c r="H43" i="12" s="1"/>
  <c r="R31" i="12"/>
  <c r="R40" i="12"/>
  <c r="I41" i="12"/>
  <c r="I42" i="12" s="1"/>
  <c r="I43" i="12" s="1"/>
  <c r="F41" i="12"/>
  <c r="F42" i="12" s="1"/>
  <c r="F43" i="12" s="1"/>
  <c r="I54" i="12"/>
  <c r="F54" i="12"/>
  <c r="R37" i="12"/>
  <c r="H57" i="12"/>
  <c r="H54" i="12"/>
  <c r="R20" i="12"/>
  <c r="S31" i="12"/>
  <c r="G57" i="12"/>
  <c r="G41" i="12"/>
  <c r="G42" i="12" s="1"/>
  <c r="G43" i="12" s="1"/>
  <c r="R23" i="12"/>
  <c r="R27" i="12"/>
  <c r="I57" i="12"/>
  <c r="F57" i="12"/>
  <c r="G54" i="12" l="1"/>
  <c r="G59" i="12" s="1"/>
  <c r="H60" i="12"/>
  <c r="H59" i="12"/>
  <c r="I60" i="12"/>
  <c r="I59" i="12"/>
  <c r="F59" i="12"/>
  <c r="G60" i="12"/>
  <c r="F60" i="12"/>
  <c r="R13" i="11" l="1"/>
  <c r="Q13" i="11"/>
  <c r="P13" i="11"/>
  <c r="O13" i="11"/>
  <c r="N13" i="11"/>
  <c r="M13" i="11"/>
  <c r="L13" i="11"/>
  <c r="K13" i="11"/>
  <c r="J13" i="11"/>
  <c r="I13" i="11"/>
  <c r="H13" i="11"/>
  <c r="G13" i="11"/>
  <c r="F13" i="11"/>
  <c r="E13" i="11"/>
  <c r="D13" i="11"/>
  <c r="C13" i="11"/>
  <c r="B13" i="11"/>
  <c r="A13" i="11"/>
  <c r="P12" i="11"/>
  <c r="O12" i="11"/>
  <c r="N12" i="11"/>
  <c r="M12" i="11"/>
  <c r="L12" i="11"/>
  <c r="C12" i="11"/>
  <c r="B12" i="11"/>
  <c r="A12" i="11"/>
  <c r="R11" i="11"/>
  <c r="Q11" i="11"/>
  <c r="N11" i="11"/>
  <c r="L11" i="11"/>
  <c r="K11" i="11"/>
  <c r="J11" i="11"/>
  <c r="I11" i="11"/>
  <c r="H11" i="11"/>
  <c r="G11" i="11"/>
  <c r="F11" i="11"/>
  <c r="E11" i="11"/>
  <c r="D11" i="11"/>
  <c r="A11" i="11"/>
  <c r="Q2" i="11" l="1"/>
  <c r="Q3" i="11"/>
  <c r="Q6" i="11"/>
  <c r="Q7" i="11"/>
  <c r="Q1" i="11"/>
  <c r="F20" i="11"/>
  <c r="F26" i="11"/>
  <c r="H26" i="11"/>
  <c r="I26" i="11"/>
  <c r="F32" i="11"/>
  <c r="G32" i="11"/>
  <c r="H32" i="11"/>
  <c r="I32" i="11"/>
  <c r="F41" i="11"/>
  <c r="H41" i="11"/>
  <c r="I41" i="11"/>
  <c r="F47" i="11"/>
  <c r="G47" i="11"/>
  <c r="H47" i="11"/>
  <c r="I47" i="11"/>
  <c r="G50" i="11"/>
  <c r="F50" i="11"/>
  <c r="H50" i="11"/>
  <c r="I50" i="11"/>
  <c r="F55" i="11"/>
  <c r="G55" i="11"/>
  <c r="H55" i="11"/>
  <c r="I55" i="11"/>
  <c r="G58" i="11"/>
  <c r="F58" i="11"/>
  <c r="H58" i="11"/>
  <c r="I58" i="11"/>
  <c r="F61" i="11"/>
  <c r="G61" i="11"/>
  <c r="H61" i="11"/>
  <c r="I61" i="11"/>
  <c r="F66" i="11"/>
  <c r="G66" i="11"/>
  <c r="H66" i="11"/>
  <c r="I66" i="11"/>
  <c r="F69" i="11"/>
  <c r="G69" i="11"/>
  <c r="H69" i="11"/>
  <c r="I69" i="11"/>
  <c r="F72" i="11"/>
  <c r="G72" i="11"/>
  <c r="H72" i="11"/>
  <c r="I72" i="11"/>
  <c r="F75" i="11"/>
  <c r="H75" i="11"/>
  <c r="I75" i="11"/>
  <c r="G83" i="11"/>
  <c r="F83" i="11"/>
  <c r="H83" i="11"/>
  <c r="I83" i="11"/>
  <c r="F86" i="11"/>
  <c r="G86" i="11"/>
  <c r="H86" i="11"/>
  <c r="I86" i="11"/>
  <c r="F89" i="11"/>
  <c r="G89" i="11"/>
  <c r="H89" i="11"/>
  <c r="I89" i="11"/>
  <c r="F94" i="11"/>
  <c r="G94" i="11"/>
  <c r="H94" i="11"/>
  <c r="I94" i="11"/>
  <c r="F97" i="11"/>
  <c r="G97" i="11"/>
  <c r="H97" i="11"/>
  <c r="I97" i="11"/>
  <c r="F100" i="11"/>
  <c r="G100" i="11"/>
  <c r="H100" i="11"/>
  <c r="I100" i="11"/>
  <c r="G103" i="11"/>
  <c r="F103" i="11"/>
  <c r="H103" i="11"/>
  <c r="I103" i="11"/>
  <c r="F107" i="11"/>
  <c r="G107" i="11"/>
  <c r="H107" i="11"/>
  <c r="I107" i="11"/>
  <c r="F112" i="11"/>
  <c r="G112" i="11"/>
  <c r="H112" i="11"/>
  <c r="I112" i="11"/>
  <c r="G115" i="11"/>
  <c r="F115" i="11"/>
  <c r="H115" i="11"/>
  <c r="I115" i="11"/>
  <c r="F121" i="11"/>
  <c r="F122" i="11" s="1"/>
  <c r="G121" i="11"/>
  <c r="G122" i="11" s="1"/>
  <c r="H121" i="11"/>
  <c r="H122" i="11" s="1"/>
  <c r="I121" i="11"/>
  <c r="I122" i="11" s="1"/>
  <c r="F131" i="11"/>
  <c r="G131" i="11"/>
  <c r="G171" i="11" s="1"/>
  <c r="H131" i="11"/>
  <c r="H171" i="11" s="1"/>
  <c r="I131" i="11"/>
  <c r="I171" i="11" s="1"/>
  <c r="F145" i="11"/>
  <c r="G145" i="11"/>
  <c r="H145" i="11"/>
  <c r="I145" i="11"/>
  <c r="F148" i="11"/>
  <c r="F163" i="11" s="1"/>
  <c r="G148" i="11"/>
  <c r="G163" i="11" s="1"/>
  <c r="H163" i="11"/>
  <c r="I148" i="11"/>
  <c r="I163" i="11" s="1"/>
  <c r="F151" i="11"/>
  <c r="G151" i="11"/>
  <c r="H151" i="11"/>
  <c r="I151" i="11"/>
  <c r="F165" i="11"/>
  <c r="H165" i="11"/>
  <c r="I165" i="11"/>
  <c r="F116" i="11" l="1"/>
  <c r="I116" i="11"/>
  <c r="H116" i="11"/>
  <c r="G116" i="11"/>
  <c r="R145" i="11"/>
  <c r="R148" i="11"/>
  <c r="I132" i="11"/>
  <c r="H132" i="11"/>
  <c r="F132" i="11"/>
  <c r="F171" i="11"/>
  <c r="I156" i="11"/>
  <c r="I157" i="11" s="1"/>
  <c r="H156" i="11"/>
  <c r="H157" i="11" s="1"/>
  <c r="G156" i="11"/>
  <c r="G157" i="11" s="1"/>
  <c r="F156" i="11"/>
  <c r="F157" i="11" s="1"/>
  <c r="R131" i="11"/>
  <c r="R100" i="11"/>
  <c r="R89" i="11"/>
  <c r="R86" i="11"/>
  <c r="R72" i="11"/>
  <c r="R69" i="11"/>
  <c r="R58" i="11"/>
  <c r="G26" i="11"/>
  <c r="R26" i="11" s="1"/>
  <c r="F169" i="11"/>
  <c r="G132" i="11"/>
  <c r="F108" i="11"/>
  <c r="R47" i="11"/>
  <c r="R112" i="11"/>
  <c r="R66" i="11"/>
  <c r="R55" i="11"/>
  <c r="R20" i="11"/>
  <c r="H169" i="11"/>
  <c r="H172" i="11" s="1"/>
  <c r="I108" i="11"/>
  <c r="G41" i="11"/>
  <c r="R41" i="11" s="1"/>
  <c r="R32" i="11"/>
  <c r="I169" i="11"/>
  <c r="I172" i="11" s="1"/>
  <c r="H108" i="11"/>
  <c r="R94" i="11"/>
  <c r="R61" i="11"/>
  <c r="I51" i="11"/>
  <c r="F51" i="11"/>
  <c r="H51" i="11"/>
  <c r="R83" i="11"/>
  <c r="R115" i="11"/>
  <c r="R103" i="11"/>
  <c r="R97" i="11"/>
  <c r="R50" i="11"/>
  <c r="G165" i="11"/>
  <c r="R107" i="11"/>
  <c r="G75" i="11"/>
  <c r="R75" i="11" s="1"/>
  <c r="R121" i="11"/>
  <c r="I140" i="11" l="1"/>
  <c r="I158" i="11" s="1"/>
  <c r="I174" i="11" s="1"/>
  <c r="H140" i="11"/>
  <c r="H158" i="11" s="1"/>
  <c r="H174" i="11" s="1"/>
  <c r="F140" i="11"/>
  <c r="F158" i="11" s="1"/>
  <c r="F174" i="11" s="1"/>
  <c r="G51" i="11"/>
  <c r="F172" i="11"/>
  <c r="F175" i="11" s="1"/>
  <c r="G108" i="11"/>
  <c r="G169" i="11"/>
  <c r="G172" i="11" s="1"/>
  <c r="H175" i="11" l="1"/>
  <c r="I175" i="11"/>
  <c r="G140" i="11"/>
  <c r="G158" i="11" s="1"/>
  <c r="G174" i="11" s="1"/>
  <c r="G175" i="11" l="1"/>
  <c r="R13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C13" i="10"/>
  <c r="B13" i="10"/>
  <c r="A13" i="10"/>
  <c r="P12" i="10"/>
  <c r="O12" i="10"/>
  <c r="N12" i="10"/>
  <c r="M12" i="10"/>
  <c r="L12" i="10"/>
  <c r="C12" i="10"/>
  <c r="B12" i="10"/>
  <c r="A12" i="10"/>
  <c r="R11" i="10"/>
  <c r="Q11" i="10"/>
  <c r="N11" i="10"/>
  <c r="L11" i="10"/>
  <c r="K11" i="10"/>
  <c r="J11" i="10"/>
  <c r="I11" i="10"/>
  <c r="H11" i="10"/>
  <c r="G11" i="10"/>
  <c r="F11" i="10"/>
  <c r="E11" i="10"/>
  <c r="D11" i="10"/>
  <c r="A11" i="10"/>
  <c r="Q2" i="10"/>
  <c r="Q3" i="10"/>
  <c r="Q6" i="10"/>
  <c r="Q7" i="10"/>
  <c r="Q1" i="10"/>
  <c r="G23" i="10"/>
  <c r="F23" i="10"/>
  <c r="H23" i="10"/>
  <c r="I23" i="10"/>
  <c r="F29" i="10"/>
  <c r="G29" i="10"/>
  <c r="H29" i="10"/>
  <c r="I29" i="10"/>
  <c r="F35" i="10"/>
  <c r="G35" i="10"/>
  <c r="H35" i="10"/>
  <c r="I35" i="10"/>
  <c r="F41" i="10"/>
  <c r="G41" i="10"/>
  <c r="H41" i="10"/>
  <c r="I41" i="10"/>
  <c r="F47" i="10"/>
  <c r="G47" i="10"/>
  <c r="H47" i="10"/>
  <c r="I47" i="10"/>
  <c r="F60" i="10"/>
  <c r="G60" i="10"/>
  <c r="H60" i="10"/>
  <c r="I60" i="10"/>
  <c r="F67" i="10"/>
  <c r="G67" i="10"/>
  <c r="H67" i="10"/>
  <c r="I67" i="10"/>
  <c r="F74" i="10"/>
  <c r="G74" i="10"/>
  <c r="H74" i="10"/>
  <c r="I74" i="10"/>
  <c r="F77" i="10"/>
  <c r="G77" i="10"/>
  <c r="H77" i="10"/>
  <c r="I77" i="10"/>
  <c r="F84" i="10"/>
  <c r="G84" i="10"/>
  <c r="H84" i="10"/>
  <c r="I84" i="10"/>
  <c r="F87" i="10"/>
  <c r="G87" i="10"/>
  <c r="H87" i="10"/>
  <c r="I87" i="10"/>
  <c r="F90" i="10"/>
  <c r="G90" i="10"/>
  <c r="H90" i="10"/>
  <c r="I90" i="10"/>
  <c r="F93" i="10"/>
  <c r="G93" i="10"/>
  <c r="H93" i="10"/>
  <c r="I93" i="10"/>
  <c r="F114" i="10"/>
  <c r="H114" i="10"/>
  <c r="I114" i="10"/>
  <c r="F121" i="10" l="1"/>
  <c r="I97" i="10"/>
  <c r="I98" i="10" s="1"/>
  <c r="G121" i="10"/>
  <c r="I121" i="10"/>
  <c r="H121" i="10"/>
  <c r="H97" i="10"/>
  <c r="H98" i="10" s="1"/>
  <c r="G97" i="10"/>
  <c r="G98" i="10" s="1"/>
  <c r="F97" i="10"/>
  <c r="F98" i="10" s="1"/>
  <c r="I78" i="10"/>
  <c r="I79" i="10" s="1"/>
  <c r="I48" i="10"/>
  <c r="I49" i="10" s="1"/>
  <c r="H120" i="10"/>
  <c r="H78" i="10"/>
  <c r="H79" i="10" s="1"/>
  <c r="H48" i="10"/>
  <c r="H49" i="10" s="1"/>
  <c r="G120" i="10"/>
  <c r="G78" i="10"/>
  <c r="G79" i="10" s="1"/>
  <c r="F48" i="10"/>
  <c r="F49" i="10" s="1"/>
  <c r="I120" i="10"/>
  <c r="F120" i="10"/>
  <c r="F78" i="10"/>
  <c r="F79" i="10" s="1"/>
  <c r="G48" i="10"/>
  <c r="G49" i="10" s="1"/>
  <c r="G114" i="10"/>
  <c r="R74" i="10"/>
  <c r="R67" i="10"/>
  <c r="R29" i="10"/>
  <c r="R90" i="10"/>
  <c r="R47" i="10"/>
  <c r="I118" i="10"/>
  <c r="F118" i="10"/>
  <c r="H118" i="10"/>
  <c r="R84" i="10"/>
  <c r="R60" i="10"/>
  <c r="R41" i="10"/>
  <c r="R77" i="10"/>
  <c r="R35" i="10"/>
  <c r="R23" i="10"/>
  <c r="R93" i="10"/>
  <c r="R87" i="10"/>
  <c r="G118" i="10" l="1"/>
  <c r="F107" i="10"/>
  <c r="F124" i="10" s="1"/>
  <c r="G107" i="10"/>
  <c r="H107" i="10"/>
  <c r="H124" i="10" s="1"/>
  <c r="I107" i="10"/>
  <c r="I123" i="10" s="1"/>
  <c r="G123" i="10" l="1"/>
  <c r="I124" i="10"/>
  <c r="F123" i="10"/>
  <c r="H123" i="10"/>
  <c r="G124" i="10"/>
  <c r="R13" i="9" l="1"/>
  <c r="Q13" i="9"/>
  <c r="P13" i="9"/>
  <c r="O13" i="9"/>
  <c r="N13" i="9"/>
  <c r="M13" i="9"/>
  <c r="L13" i="9"/>
  <c r="K13" i="9"/>
  <c r="J13" i="9"/>
  <c r="I13" i="9"/>
  <c r="H13" i="9"/>
  <c r="G13" i="9"/>
  <c r="F13" i="9"/>
  <c r="E13" i="9"/>
  <c r="D13" i="9"/>
  <c r="C13" i="9"/>
  <c r="B13" i="9"/>
  <c r="A13" i="9"/>
  <c r="P12" i="9"/>
  <c r="O12" i="9"/>
  <c r="N12" i="9"/>
  <c r="M12" i="9"/>
  <c r="L12" i="9"/>
  <c r="C12" i="9"/>
  <c r="B12" i="9"/>
  <c r="A12" i="9"/>
  <c r="R11" i="9"/>
  <c r="Q11" i="9"/>
  <c r="N11" i="9"/>
  <c r="L11" i="9"/>
  <c r="K11" i="9"/>
  <c r="J11" i="9"/>
  <c r="I11" i="9"/>
  <c r="H11" i="9"/>
  <c r="G11" i="9"/>
  <c r="F11" i="9"/>
  <c r="E11" i="9"/>
  <c r="D11" i="9"/>
  <c r="A11" i="9"/>
  <c r="R13" i="8"/>
  <c r="Q13" i="8"/>
  <c r="P13" i="8"/>
  <c r="O13" i="8"/>
  <c r="N13" i="8"/>
  <c r="M13" i="8"/>
  <c r="L13" i="8"/>
  <c r="K13" i="8"/>
  <c r="J13" i="8"/>
  <c r="I13" i="8"/>
  <c r="H13" i="8"/>
  <c r="G13" i="8"/>
  <c r="F13" i="8"/>
  <c r="E13" i="8"/>
  <c r="D13" i="8"/>
  <c r="C13" i="8"/>
  <c r="B13" i="8"/>
  <c r="A13" i="8"/>
  <c r="P12" i="8"/>
  <c r="O12" i="8"/>
  <c r="N12" i="8"/>
  <c r="M12" i="8"/>
  <c r="L12" i="8"/>
  <c r="C12" i="8"/>
  <c r="B12" i="8"/>
  <c r="A12" i="8"/>
  <c r="R11" i="8"/>
  <c r="Q11" i="8"/>
  <c r="N11" i="8"/>
  <c r="L11" i="8"/>
  <c r="K11" i="8"/>
  <c r="J11" i="8"/>
  <c r="I11" i="8"/>
  <c r="H11" i="8"/>
  <c r="G11" i="8"/>
  <c r="F11" i="8"/>
  <c r="E11" i="8"/>
  <c r="D11" i="8"/>
  <c r="A11" i="8"/>
  <c r="R13" i="7"/>
  <c r="Q13" i="7"/>
  <c r="P13" i="7"/>
  <c r="O13" i="7"/>
  <c r="N13" i="7"/>
  <c r="M13" i="7"/>
  <c r="L13" i="7"/>
  <c r="K13" i="7"/>
  <c r="J13" i="7"/>
  <c r="I13" i="7"/>
  <c r="H13" i="7"/>
  <c r="G13" i="7"/>
  <c r="F13" i="7"/>
  <c r="E13" i="7"/>
  <c r="D13" i="7"/>
  <c r="C13" i="7"/>
  <c r="B13" i="7"/>
  <c r="A13" i="7"/>
  <c r="P12" i="7"/>
  <c r="O12" i="7"/>
  <c r="N12" i="7"/>
  <c r="M12" i="7"/>
  <c r="L12" i="7"/>
  <c r="C12" i="7"/>
  <c r="B12" i="7"/>
  <c r="A12" i="7"/>
  <c r="R11" i="7"/>
  <c r="Q11" i="7"/>
  <c r="N11" i="7"/>
  <c r="L11" i="7"/>
  <c r="K11" i="7"/>
  <c r="J11" i="7"/>
  <c r="I11" i="7"/>
  <c r="H11" i="7"/>
  <c r="G11" i="7"/>
  <c r="F11" i="7"/>
  <c r="E11" i="7"/>
  <c r="D11" i="7"/>
  <c r="A11" i="7"/>
  <c r="R11" i="5"/>
  <c r="Q11" i="5"/>
  <c r="O12" i="5"/>
  <c r="P12" i="5"/>
  <c r="N12" i="5"/>
  <c r="M12" i="5"/>
  <c r="N11" i="5"/>
  <c r="L12" i="5"/>
  <c r="L11" i="5"/>
  <c r="F11" i="5"/>
  <c r="G11" i="5"/>
  <c r="H11" i="5"/>
  <c r="I11" i="5"/>
  <c r="J11" i="5"/>
  <c r="K11" i="5"/>
  <c r="E11" i="5"/>
  <c r="D11" i="5"/>
  <c r="B13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A13" i="5"/>
  <c r="B12" i="5"/>
  <c r="C12" i="5"/>
  <c r="A12" i="5"/>
  <c r="A11" i="5"/>
  <c r="Q2" i="9" l="1"/>
  <c r="Q3" i="9"/>
  <c r="Q6" i="9"/>
  <c r="Q7" i="9"/>
  <c r="Q1" i="9"/>
  <c r="F25" i="9"/>
  <c r="F26" i="9" s="1"/>
  <c r="H25" i="9"/>
  <c r="H26" i="9" s="1"/>
  <c r="I25" i="9"/>
  <c r="I26" i="9" s="1"/>
  <c r="G30" i="9"/>
  <c r="F30" i="9"/>
  <c r="F31" i="9" s="1"/>
  <c r="H30" i="9"/>
  <c r="H31" i="9" s="1"/>
  <c r="I30" i="9"/>
  <c r="I31" i="9" s="1"/>
  <c r="F38" i="9"/>
  <c r="G38" i="9"/>
  <c r="H38" i="9"/>
  <c r="I38" i="9"/>
  <c r="G44" i="9" l="1"/>
  <c r="F44" i="9"/>
  <c r="H44" i="9"/>
  <c r="G25" i="9"/>
  <c r="I44" i="9"/>
  <c r="H32" i="9"/>
  <c r="H33" i="9" s="1"/>
  <c r="R30" i="9"/>
  <c r="G31" i="9"/>
  <c r="I47" i="9"/>
  <c r="F47" i="9"/>
  <c r="I32" i="9"/>
  <c r="I33" i="9" s="1"/>
  <c r="F32" i="9"/>
  <c r="F33" i="9" s="1"/>
  <c r="H47" i="9"/>
  <c r="F49" i="9" l="1"/>
  <c r="H50" i="9"/>
  <c r="I50" i="9"/>
  <c r="F50" i="9"/>
  <c r="R25" i="9"/>
  <c r="G26" i="9"/>
  <c r="G32" i="9" s="1"/>
  <c r="G33" i="9" s="1"/>
  <c r="H49" i="9"/>
  <c r="I49" i="9"/>
  <c r="G47" i="9"/>
  <c r="G50" i="9" l="1"/>
  <c r="G49" i="9"/>
  <c r="F126" i="8" l="1"/>
  <c r="R83" i="8" l="1"/>
  <c r="Q2" i="8"/>
  <c r="Q3" i="8"/>
  <c r="Q6" i="8"/>
  <c r="Q7" i="8"/>
  <c r="Q1" i="8"/>
  <c r="F20" i="8"/>
  <c r="F24" i="8"/>
  <c r="F34" i="8"/>
  <c r="F42" i="8"/>
  <c r="F45" i="8"/>
  <c r="F50" i="8"/>
  <c r="F53" i="8"/>
  <c r="F66" i="8"/>
  <c r="F76" i="8"/>
  <c r="F79" i="8"/>
  <c r="F113" i="8"/>
  <c r="F120" i="8" s="1"/>
  <c r="F127" i="8"/>
  <c r="F131" i="8"/>
  <c r="F134" i="8"/>
  <c r="R134" i="8" s="1"/>
  <c r="F145" i="8"/>
  <c r="F146" i="8" s="1"/>
  <c r="F153" i="8"/>
  <c r="F158" i="8" s="1"/>
  <c r="F157" i="8"/>
  <c r="F165" i="8"/>
  <c r="F169" i="8" s="1"/>
  <c r="F170" i="8" s="1"/>
  <c r="F176" i="8"/>
  <c r="F187" i="8"/>
  <c r="F188" i="8" s="1"/>
  <c r="F189" i="8" s="1"/>
  <c r="F195" i="8"/>
  <c r="F196" i="8" s="1"/>
  <c r="F197" i="8" s="1"/>
  <c r="F159" i="8" l="1"/>
  <c r="F135" i="8"/>
  <c r="F95" i="8"/>
  <c r="F136" i="8" s="1"/>
  <c r="F211" i="8"/>
  <c r="F177" i="8"/>
  <c r="F178" i="8" s="1"/>
  <c r="R176" i="8"/>
  <c r="R165" i="8"/>
  <c r="R157" i="8"/>
  <c r="R153" i="8"/>
  <c r="R145" i="8"/>
  <c r="R131" i="8"/>
  <c r="R119" i="8"/>
  <c r="R113" i="8"/>
  <c r="R110" i="8"/>
  <c r="R79" i="8"/>
  <c r="R76" i="8"/>
  <c r="R73" i="8"/>
  <c r="R66" i="8"/>
  <c r="R62" i="8"/>
  <c r="R53" i="8"/>
  <c r="R50" i="8"/>
  <c r="R45" i="8"/>
  <c r="R42" i="8"/>
  <c r="R34" i="8"/>
  <c r="R30" i="8"/>
  <c r="R24" i="8"/>
  <c r="R195" i="8"/>
  <c r="R126" i="8"/>
  <c r="R187" i="8"/>
  <c r="R20" i="8"/>
  <c r="G212" i="8" l="1"/>
  <c r="G214" i="8"/>
  <c r="I214" i="8"/>
  <c r="I212" i="8"/>
  <c r="H212" i="8"/>
  <c r="F198" i="8"/>
  <c r="F212" i="8" s="1"/>
  <c r="G215" i="8" l="1"/>
  <c r="H215" i="8"/>
  <c r="I215" i="8"/>
  <c r="F214" i="8"/>
  <c r="Q2" i="7"/>
  <c r="Q3" i="7"/>
  <c r="Q6" i="7"/>
  <c r="Q7" i="7"/>
  <c r="Q1" i="7"/>
  <c r="F23" i="7"/>
  <c r="G23" i="7"/>
  <c r="H23" i="7"/>
  <c r="I23" i="7"/>
  <c r="H27" i="7"/>
  <c r="I27" i="7"/>
  <c r="F27" i="7"/>
  <c r="G27" i="7"/>
  <c r="F31" i="7"/>
  <c r="F50" i="7" s="1"/>
  <c r="G31" i="7"/>
  <c r="H31" i="7"/>
  <c r="H50" i="7" s="1"/>
  <c r="I31" i="7"/>
  <c r="I50" i="7" s="1"/>
  <c r="F34" i="7"/>
  <c r="F43" i="7" s="1"/>
  <c r="G34" i="7"/>
  <c r="G43" i="7" s="1"/>
  <c r="H34" i="7"/>
  <c r="H43" i="7" s="1"/>
  <c r="I34" i="7"/>
  <c r="I43" i="7" s="1"/>
  <c r="S31" i="7" l="1"/>
  <c r="F215" i="8"/>
  <c r="G50" i="7"/>
  <c r="R31" i="7"/>
  <c r="R27" i="7"/>
  <c r="F42" i="7"/>
  <c r="I42" i="7"/>
  <c r="H51" i="7"/>
  <c r="H42" i="7"/>
  <c r="F51" i="7"/>
  <c r="G51" i="7"/>
  <c r="G42" i="7"/>
  <c r="I51" i="7"/>
  <c r="F35" i="7"/>
  <c r="R23" i="7"/>
  <c r="I35" i="7"/>
  <c r="H35" i="7"/>
  <c r="R34" i="7"/>
  <c r="G35" i="7"/>
  <c r="F48" i="7" l="1"/>
  <c r="G48" i="7"/>
  <c r="I48" i="7"/>
  <c r="H48" i="7"/>
  <c r="I36" i="7"/>
  <c r="I37" i="7" s="1"/>
  <c r="G36" i="7"/>
  <c r="G37" i="7" s="1"/>
  <c r="F36" i="7"/>
  <c r="F37" i="7" s="1"/>
  <c r="H36" i="7"/>
  <c r="H37" i="7" s="1"/>
  <c r="H54" i="7" l="1"/>
  <c r="H53" i="7"/>
  <c r="F54" i="7"/>
  <c r="F53" i="7"/>
  <c r="G54" i="7"/>
  <c r="G53" i="7"/>
  <c r="I53" i="7"/>
  <c r="I54" i="7"/>
  <c r="Q2" i="5"/>
  <c r="Q3" i="5"/>
  <c r="Q6" i="5"/>
  <c r="Q7" i="5"/>
  <c r="Q1" i="5"/>
  <c r="G202" i="3" l="1"/>
  <c r="I202" i="3"/>
  <c r="F202" i="3"/>
  <c r="G250" i="3" l="1"/>
  <c r="I250" i="3"/>
  <c r="G233" i="3"/>
  <c r="I233" i="3"/>
  <c r="I234" i="3" s="1"/>
  <c r="I235" i="3" s="1"/>
  <c r="G225" i="3"/>
  <c r="I225" i="3"/>
  <c r="G206" i="3"/>
  <c r="I206" i="3"/>
  <c r="G187" i="3"/>
  <c r="I187" i="3"/>
  <c r="I188" i="3" s="1"/>
  <c r="F187" i="3"/>
  <c r="I173" i="3"/>
  <c r="G173" i="3"/>
  <c r="F173" i="3"/>
  <c r="I165" i="3"/>
  <c r="G165" i="3"/>
  <c r="F165" i="3"/>
  <c r="I157" i="3"/>
  <c r="G157" i="3"/>
  <c r="F157" i="3"/>
  <c r="I149" i="3"/>
  <c r="G149" i="3"/>
  <c r="F149" i="3"/>
  <c r="I141" i="3"/>
  <c r="G141" i="3"/>
  <c r="F141" i="3"/>
  <c r="I133" i="3"/>
  <c r="G133" i="3"/>
  <c r="F133" i="3"/>
  <c r="I125" i="3"/>
  <c r="G125" i="3"/>
  <c r="F125" i="3"/>
  <c r="I116" i="3"/>
  <c r="G116" i="3"/>
  <c r="F116" i="3"/>
  <c r="I106" i="3"/>
  <c r="G106" i="3"/>
  <c r="F106" i="3"/>
  <c r="G96" i="3"/>
  <c r="F96" i="3"/>
  <c r="I86" i="3"/>
  <c r="G86" i="3"/>
  <c r="F86" i="3"/>
  <c r="I76" i="3"/>
  <c r="G76" i="3"/>
  <c r="F76" i="3"/>
  <c r="I66" i="3"/>
  <c r="G66" i="3"/>
  <c r="F66" i="3"/>
  <c r="I56" i="3"/>
  <c r="G56" i="3"/>
  <c r="F56" i="3"/>
  <c r="I47" i="3"/>
  <c r="G47" i="3"/>
  <c r="F47" i="3"/>
  <c r="I37" i="3"/>
  <c r="G37" i="3"/>
  <c r="F37" i="3"/>
  <c r="G32" i="3"/>
  <c r="I32" i="3"/>
  <c r="F32" i="3"/>
  <c r="I174" i="3" l="1"/>
  <c r="I180" i="3" s="1"/>
  <c r="G174" i="3"/>
  <c r="G180" i="3" s="1"/>
  <c r="F174" i="3"/>
  <c r="F180" i="3" s="1"/>
  <c r="R32" i="3"/>
  <c r="R76" i="3"/>
  <c r="R157" i="3"/>
  <c r="R141" i="3"/>
  <c r="R125" i="3"/>
  <c r="R116" i="3"/>
  <c r="R56" i="3"/>
  <c r="R47" i="3"/>
  <c r="R37" i="3"/>
  <c r="G234" i="3"/>
  <c r="G235" i="3" s="1"/>
  <c r="G188" i="3"/>
  <c r="R187" i="3"/>
  <c r="R173" i="3"/>
  <c r="R165" i="3"/>
  <c r="R149" i="3"/>
  <c r="R133" i="3"/>
  <c r="R106" i="3"/>
  <c r="R96" i="3"/>
  <c r="R86" i="3"/>
  <c r="R66" i="3"/>
  <c r="I226" i="3"/>
  <c r="I227" i="3" s="1"/>
  <c r="G226" i="3"/>
  <c r="G227" i="3" s="1"/>
  <c r="G267" i="3"/>
  <c r="I267" i="3" l="1"/>
  <c r="G198" i="3"/>
  <c r="I198" i="3"/>
  <c r="F198" i="3"/>
  <c r="R198" i="3" l="1"/>
  <c r="F188" i="3" l="1"/>
  <c r="F250" i="3" l="1"/>
  <c r="R250" i="3" s="1"/>
  <c r="I247" i="3"/>
  <c r="G247" i="3"/>
  <c r="F247" i="3"/>
  <c r="I244" i="3"/>
  <c r="G244" i="3"/>
  <c r="I240" i="3"/>
  <c r="I254" i="3" s="1"/>
  <c r="G240" i="3"/>
  <c r="F240" i="3"/>
  <c r="F233" i="3"/>
  <c r="R233" i="3" s="1"/>
  <c r="F225" i="3"/>
  <c r="R225" i="3" s="1"/>
  <c r="R221" i="3"/>
  <c r="F206" i="3"/>
  <c r="R206" i="3" s="1"/>
  <c r="I193" i="3"/>
  <c r="I210" i="3" s="1"/>
  <c r="G193" i="3"/>
  <c r="G210" i="3" s="1"/>
  <c r="F193" i="3"/>
  <c r="F254" i="3" l="1"/>
  <c r="F255" i="3" s="1"/>
  <c r="F210" i="3"/>
  <c r="G254" i="3"/>
  <c r="G255" i="3" s="1"/>
  <c r="R247" i="3"/>
  <c r="R193" i="3"/>
  <c r="R244" i="3"/>
  <c r="R240" i="3"/>
  <c r="R202" i="3"/>
  <c r="I211" i="3"/>
  <c r="F211" i="3"/>
  <c r="I255" i="3"/>
  <c r="G211" i="3"/>
  <c r="F226" i="3"/>
  <c r="F227" i="3" s="1"/>
  <c r="F234" i="3"/>
  <c r="F235" i="3" s="1"/>
  <c r="F256" i="3" l="1"/>
  <c r="F270" i="3" s="1"/>
  <c r="G256" i="3"/>
  <c r="G270" i="3" s="1"/>
  <c r="I256" i="3"/>
  <c r="I270" i="3" s="1"/>
  <c r="I273" i="3" l="1"/>
  <c r="G273" i="3"/>
  <c r="F272" i="3"/>
  <c r="G272" i="3"/>
  <c r="I272" i="3"/>
  <c r="F273" i="3" l="1"/>
</calcChain>
</file>

<file path=xl/sharedStrings.xml><?xml version="1.0" encoding="utf-8"?>
<sst xmlns="http://schemas.openxmlformats.org/spreadsheetml/2006/main" count="3246" uniqueCount="1042">
  <si>
    <t>01</t>
  </si>
  <si>
    <t>pavadinimas</t>
  </si>
  <si>
    <t>Iš viso uždaviniui</t>
  </si>
  <si>
    <t>Iš viso programai</t>
  </si>
  <si>
    <t>Finansavimo šaltinių suvestinė</t>
  </si>
  <si>
    <t>Iš jų pažangos priemonių lėšos</t>
  </si>
  <si>
    <t>Iš jų tęstinės veiklos priemonių lėšos</t>
  </si>
  <si>
    <t>Iš jų regioninių pažangos priemonių lėšos (bendra suma)</t>
  </si>
  <si>
    <t>Stebėsenos rodiklio kodas</t>
  </si>
  <si>
    <t>mato vnt.</t>
  </si>
  <si>
    <t>02</t>
  </si>
  <si>
    <t>proc.</t>
  </si>
  <si>
    <t>vnt.</t>
  </si>
  <si>
    <t xml:space="preserve">Savivaldybės biudžeto lėšos </t>
  </si>
  <si>
    <t>SB</t>
  </si>
  <si>
    <t>SB (VB)</t>
  </si>
  <si>
    <t xml:space="preserve">Pajamos už prekes ir paslaugos </t>
  </si>
  <si>
    <t>SB (SP)</t>
  </si>
  <si>
    <t>P</t>
  </si>
  <si>
    <t>x</t>
  </si>
  <si>
    <t xml:space="preserve">Valstybės biudžeto dotacijos lėšos </t>
  </si>
  <si>
    <t>TP</t>
  </si>
  <si>
    <t>Iš viso priemonei:</t>
  </si>
  <si>
    <t>Tikrinimas</t>
  </si>
  <si>
    <t>03</t>
  </si>
  <si>
    <t>04</t>
  </si>
  <si>
    <t>05</t>
  </si>
  <si>
    <t>06</t>
  </si>
  <si>
    <t>07</t>
  </si>
  <si>
    <t>R-001-01-01-02</t>
  </si>
  <si>
    <t>R-001-01-01-03</t>
  </si>
  <si>
    <t>T</t>
  </si>
  <si>
    <t>Akademiko Adolfo Jucio progimnazijos veikla</t>
  </si>
  <si>
    <t>Be pateisinamos priežasties praleistų pamokų dalis nuo visų praleistų pamokų skaičiaus</t>
  </si>
  <si>
    <t>"Saulės" gimnazijos veikla</t>
  </si>
  <si>
    <t>asm.</t>
  </si>
  <si>
    <t xml:space="preserve">Asmenų, kuriems suteikta specialioji ir psichologinė pagalba, dalis nuo bendro mokinių ir vaikų skaičiaus </t>
  </si>
  <si>
    <t>Įstaigos mokinių skaičius iš viso</t>
  </si>
  <si>
    <t xml:space="preserve">Mokinių, dalyvavusių regioniniuose, respublikiniuose, tarptautiniuose renginiuose, konkursuose, skaičius per metus </t>
  </si>
  <si>
    <t>Laimėtų prizinių vietų dalis regioniniuose, respublikiniuose, tarptautiniuose renginiuose, konkursuose nuo bendro dalyvavusiųjų skaičiaus neformaliojo ugdymo įstaigose</t>
  </si>
  <si>
    <t>Lopšelio-darželio "Nykštukas" veikla</t>
  </si>
  <si>
    <t>R-001-03-01-01</t>
  </si>
  <si>
    <t>R-001-03-01-03</t>
  </si>
  <si>
    <t>Vaikų, ugdomų pagal ikimokyklinio ugdymo programą, skaičius</t>
  </si>
  <si>
    <t>Vaikų, ugdomų pagal priešmokyklinio ugdymo programą, skaičius</t>
  </si>
  <si>
    <t>Lopšelio-darželio "Pasaka" veikla</t>
  </si>
  <si>
    <t>Lopšelio-darželio "Raudonkepuraitė" veikla</t>
  </si>
  <si>
    <t>Lopšelio-darželio "Rūtelė" veikla</t>
  </si>
  <si>
    <t>Lopšelio-darželio "Saulutė" veikla</t>
  </si>
  <si>
    <t>Lopšelio-darželio "Vyturėlis" veikla</t>
  </si>
  <si>
    <t>R-001-04-01-01</t>
  </si>
  <si>
    <t>Mokslo rėmimo programos įgyvendinimas</t>
  </si>
  <si>
    <t>Ugdymo kokybės užtikrinimas</t>
  </si>
  <si>
    <t>Valstybiniuose ir  mokykliniuose egzaminuose dalyvavusių mokytojų skaičius</t>
  </si>
  <si>
    <t>Neformaliojo  vaikų švietimo programos įgyvendinimas</t>
  </si>
  <si>
    <t xml:space="preserve">Neformaliajame vaikų švietime dalyvavusių vaikų skaičius </t>
  </si>
  <si>
    <t xml:space="preserve">Neformaliojo vaikų švietimo paslaugų teikėjų skaičius </t>
  </si>
  <si>
    <t>Vaikų vasaros poilsio organizavimo programos įgyvendinimas</t>
  </si>
  <si>
    <t>Finansuotų stovyklų skaičius</t>
  </si>
  <si>
    <t>Stovyklose dalyvavusių vaikų skaičius</t>
  </si>
  <si>
    <t>V-001-04-01-01-01</t>
  </si>
  <si>
    <t>R-001-05-01-01</t>
  </si>
  <si>
    <t>Jaunų žmonių, dalyvaujančių iš Savivaldybės biudžeto finansuojamų projektų veiklose, skaičius</t>
  </si>
  <si>
    <t>Jaunimo veiklos programos įgyvendinimas</t>
  </si>
  <si>
    <t>Paremtų programų skaičius</t>
  </si>
  <si>
    <t>Paremtų savanorių skaičius</t>
  </si>
  <si>
    <t>AJC lankytojų skaičius (per metus)</t>
  </si>
  <si>
    <t>Užtikrinti kokybišką neformaliojo suaugusiųjų švietimo veiklą</t>
  </si>
  <si>
    <t>Trečiojo amžiaus universiteto (TAU) veiklos organizavimas</t>
  </si>
  <si>
    <t>TAU klausytojų skaičius</t>
  </si>
  <si>
    <t>TAU renginių skaičius</t>
  </si>
  <si>
    <t>Sporto projektų rėmimas</t>
  </si>
  <si>
    <t xml:space="preserve">Sporto projektų, kuriems skirta parama, skaičius </t>
  </si>
  <si>
    <t xml:space="preserve">Įstaigoje organizuojamų treniruočių skaičius per metus </t>
  </si>
  <si>
    <t xml:space="preserve">Įstaigoje sportuojančių vaikų skaičius </t>
  </si>
  <si>
    <t>08</t>
  </si>
  <si>
    <t xml:space="preserve">Sužaistų rungtynių skaičius </t>
  </si>
  <si>
    <t>Futbolo komandos FK "Babrungas" rėmimas</t>
  </si>
  <si>
    <t>PP</t>
  </si>
  <si>
    <t>V-001-01-01-01-04 (VB)</t>
  </si>
  <si>
    <t>V-001-01-01-01-05 (VB)</t>
  </si>
  <si>
    <t>V-001-01-01-01-03 (VB)</t>
  </si>
  <si>
    <t>Individualią/ grupinę švietimo pagalbą gavusių asmenų skaičius</t>
  </si>
  <si>
    <t>Neformaliojo vaikų švietimo programose dalyvavusių vaikų dalis nuo bendro rajono vaikų skaičiaus</t>
  </si>
  <si>
    <t>Renginiuose dalyvavusių žmonių skaičius</t>
  </si>
  <si>
    <t>Mokinių, gyvenančių Centro bendrabutyje, dalis</t>
  </si>
  <si>
    <t>Įgyvendinta programa</t>
  </si>
  <si>
    <t>Dalyvavusių neformaliojo suaugusių švietimo veiklose asmenų dalis nuo vyresnių nei 65 metų asmenų skaičiaus</t>
  </si>
  <si>
    <t>V-001-01-01-03-03 (VB)</t>
  </si>
  <si>
    <t>V-001-01-01-03-04 (VB)</t>
  </si>
  <si>
    <t>V-001-01-01-03-05 (VB)</t>
  </si>
  <si>
    <t>V-001-01-01-04-02 (VB)</t>
  </si>
  <si>
    <t>V-001-01-01-04-03 (VB)</t>
  </si>
  <si>
    <t>V-001-01-01-04-04 (VB)</t>
  </si>
  <si>
    <t>koef.</t>
  </si>
  <si>
    <t>V-001-01-01-05-03 (VB)</t>
  </si>
  <si>
    <t>V-001-01-01-05-04 (VB)</t>
  </si>
  <si>
    <t>V-001-01-01-05-05 (VB)</t>
  </si>
  <si>
    <t>V-001-01-01-06-03 (VB)</t>
  </si>
  <si>
    <t>V-001-01-01-06-04 (VB)</t>
  </si>
  <si>
    <t>V-001-01-01-06-05 (VB)</t>
  </si>
  <si>
    <t>V-001-01-01-07-03 (VB)</t>
  </si>
  <si>
    <t>V-001-01-01-07-04 (VB)</t>
  </si>
  <si>
    <t>V-001-01-01-07-05 (VB)</t>
  </si>
  <si>
    <t>09</t>
  </si>
  <si>
    <t>10</t>
  </si>
  <si>
    <t>R-001-01-01-01</t>
  </si>
  <si>
    <t>R-001-01-01-04</t>
  </si>
  <si>
    <t>R-001-01-01-05</t>
  </si>
  <si>
    <t>Teikti kokybiškas ir prieinamas ikimokyklinio, priešmokyklinio, bendrojo, neformaliojo ugdymo paslaugas, atliepiant ateities ekonomikos poreikius</t>
  </si>
  <si>
    <t>Organizuoti  kokybišką ir prieinamą ugdymą ikimokyklinio ugdymo įstaigose, bendrojo ugdymo mokyklose bei neformaliojo vaikų švietimo įstaigose</t>
  </si>
  <si>
    <t>R-001-01-01-06</t>
  </si>
  <si>
    <t>R-001-01-01-07</t>
  </si>
  <si>
    <t>11</t>
  </si>
  <si>
    <t>12</t>
  </si>
  <si>
    <t>Vykdomų renginių skaičius</t>
  </si>
  <si>
    <t>13</t>
  </si>
  <si>
    <t xml:space="preserve">3–5 metų vaikų, ugdomų švietimo įstaigose, dalis </t>
  </si>
  <si>
    <t>Įstaigos mokinių skaičius</t>
  </si>
  <si>
    <t>Lietuvos čempionatų nugalėtojų/ prizininkų skaičius</t>
  </si>
  <si>
    <t>14</t>
  </si>
  <si>
    <t>15</t>
  </si>
  <si>
    <t>16</t>
  </si>
  <si>
    <t>17</t>
  </si>
  <si>
    <t>Asmenų, kuriems atliktas specialiųjų poreikių įvertinimas, skaičius</t>
  </si>
  <si>
    <t xml:space="preserve">100 mokinių tenkančių kompiuterių skaičius </t>
  </si>
  <si>
    <t>R-001-02-02-01</t>
  </si>
  <si>
    <t>R-001-02-02-02</t>
  </si>
  <si>
    <t>V-001-02-02-01-01</t>
  </si>
  <si>
    <t>V-001-02-01-01-01 (VB)</t>
  </si>
  <si>
    <t>V-001-02-01-01-02 (VB)</t>
  </si>
  <si>
    <t xml:space="preserve">V-001-02-01-01-03 </t>
  </si>
  <si>
    <t>R-001-02-01-01</t>
  </si>
  <si>
    <t>V-001-02-02-02-01</t>
  </si>
  <si>
    <t>V-001-02-02-02-02 (VB)</t>
  </si>
  <si>
    <t>V-001-02-02-03-01 (VB)</t>
  </si>
  <si>
    <t>V-001-02-02-03-02 (VB)</t>
  </si>
  <si>
    <t>V-001-02-02-04-01</t>
  </si>
  <si>
    <t>V-001-02-02-04-02</t>
  </si>
  <si>
    <t>1.3.1</t>
  </si>
  <si>
    <t>R-001-03-01-02</t>
  </si>
  <si>
    <t>Veikiančių jaunimo organizacijų, neformalių jaunimo grupių skaičius</t>
  </si>
  <si>
    <t>Suorganizuotų renginių, skirtų jaunimui, skaičius per metus</t>
  </si>
  <si>
    <t xml:space="preserve">Įgyvendinti neformaliojo suaugusiųjų švietimo programą </t>
  </si>
  <si>
    <t>V-001-04-01-01-02</t>
  </si>
  <si>
    <t>V-001-05-01-01-01</t>
  </si>
  <si>
    <t>V-001-05-01-02-01</t>
  </si>
  <si>
    <t>V-001-05-01-02-02</t>
  </si>
  <si>
    <t>V-001-05-01-03-01</t>
  </si>
  <si>
    <t>V-001-05-01-04-01</t>
  </si>
  <si>
    <t>Tris ir daugiau valstybinių brandos egzaminų išlaikiusių abiturientų dalis</t>
  </si>
  <si>
    <t>Pagrindinio ugdymo pasiekimų patikrinimo metu bent pagrindinį mokymosi pasiekimų lygį pasiekusių mokinių dalis (lietuvių kalba, matematika)</t>
  </si>
  <si>
    <t>Vienai sąlyginei mokytojo pareigybei tenkančių mokinių skaičius bendrojo ugdymo mokyklose</t>
  </si>
  <si>
    <t>Naujai komplektuojamų priešmokyklinio ugdymo grupių, kuriose yra ne daugiau kaip 20 mokinių, dalis</t>
  </si>
  <si>
    <t>Pedagogų, kėlusių kvalifikaciją, dalis</t>
  </si>
  <si>
    <t>Švietimo pagalbos darbuotojų (etatų), tenkančių 100 mokinių, skaičius</t>
  </si>
  <si>
    <t>Mokinių, lankančių neformaliojo švietimo programas (organizuojamas mokyklos), dalis</t>
  </si>
  <si>
    <t>Matematikos 8 klasės NMPP, šalies vidurkį pasiekusių mokinių dalis</t>
  </si>
  <si>
    <t>Trenerių, kėlusių kvalifikaciją, dalis</t>
  </si>
  <si>
    <t>Naujai komplektuojamų ugdymo grupių, kuriose yra ne daugiau kaip 20 mokinių, dalis</t>
  </si>
  <si>
    <t>Panaudotų Mokymo lėšų dalis</t>
  </si>
  <si>
    <t>Daugiau kaip 2 metų pedagoginio darbo stažą turinčių darbuotojų dalis</t>
  </si>
  <si>
    <t>ES</t>
  </si>
  <si>
    <t>4.0</t>
  </si>
  <si>
    <t>Švietimo pagalbą gaunančių mokinių dalis, nuo mokinių, kuriems tokia pagalba yra nustatyta, skaičiaus</t>
  </si>
  <si>
    <t xml:space="preserve">Mokytojų, dalyvavusių kvalifikacijos tobulinimo renginiuose (seminaruose, konferencijose, edukacinėse išvykose, metodinės veiklos ir gerosios patirties sklaidos renginiuose ir kt.,), skaičius   </t>
  </si>
  <si>
    <t>V-001-03-01-01-01</t>
  </si>
  <si>
    <t>V-001-03-01-01-02</t>
  </si>
  <si>
    <t>1.2.8.</t>
  </si>
  <si>
    <t>Europos Sąjungos paramos lėšos</t>
  </si>
  <si>
    <t>V-001-03-01-01-03</t>
  </si>
  <si>
    <t>Įdarbintų jaunuolių skaičius</t>
  </si>
  <si>
    <t>V-001-01-01-01-01 (VB)</t>
  </si>
  <si>
    <t>V-001-01-01-01-02 (VB)</t>
  </si>
  <si>
    <t>Nepedagoginių darbuotojų etatų dalis nuo bendro darbuotojų etatų skaičiaus</t>
  </si>
  <si>
    <t>V-001-01-01-04-01 (VB)</t>
  </si>
  <si>
    <t>V-001-01-01-04-05 (VB)</t>
  </si>
  <si>
    <t>V-001-01-01-11-04</t>
  </si>
  <si>
    <t>V-001-01-01-11-02</t>
  </si>
  <si>
    <t>V-001-01-01-11-05</t>
  </si>
  <si>
    <t>V-001-01-01-03-01 (VB)</t>
  </si>
  <si>
    <t>V-001-01-01-03-02 (VB)</t>
  </si>
  <si>
    <t>V-001-01-01-05-01 (VB)</t>
  </si>
  <si>
    <t>V-001-01-01-05-02 (VB)</t>
  </si>
  <si>
    <t>V-001-01-01-03-06</t>
  </si>
  <si>
    <t>V-001-01-01-01-06</t>
  </si>
  <si>
    <t>V-001-01-01-05-06</t>
  </si>
  <si>
    <t>V-001-01-01-06-01 (VB)</t>
  </si>
  <si>
    <t>V-001-01-01-06-02 (VB)</t>
  </si>
  <si>
    <t>V-001-01-01-06-06</t>
  </si>
  <si>
    <t>V-001-01-01-07-01 (VB)</t>
  </si>
  <si>
    <t>V-001-01-01-07-02 (VB)</t>
  </si>
  <si>
    <t>V-001-01-01-09-06</t>
  </si>
  <si>
    <t>V-001-01-01-12-01 (SB/VB)</t>
  </si>
  <si>
    <t>V-001-01-01-13-03 (SB/VB)</t>
  </si>
  <si>
    <t>V-001-01-01-14-01 (SB/VB)</t>
  </si>
  <si>
    <t>V-001-01-01-14-02 (SB/VB)</t>
  </si>
  <si>
    <t>V-001-01-01-14-03 (SB/VB)</t>
  </si>
  <si>
    <t>V-001-01-01-14-04 (SB/VB)</t>
  </si>
  <si>
    <t>V-001-01-01-15-01 (SB/VB)</t>
  </si>
  <si>
    <t>V-001-01-01-15-02 (SB/VB)</t>
  </si>
  <si>
    <t>V-001-01-01-15-03 (SB/VB)</t>
  </si>
  <si>
    <t>V-001-01-01-15-04 (SB/VB)</t>
  </si>
  <si>
    <t>V-001-01-01-16-01 (SB/VB)</t>
  </si>
  <si>
    <t>V-001-01-01-16-02 (SB/VB)</t>
  </si>
  <si>
    <t>V-001-01-01-16-03 (SB/VB)</t>
  </si>
  <si>
    <t>V-001-01-01-16-04 (SB/VB)</t>
  </si>
  <si>
    <t>V-001-01-01-17-01 (SB/VB)</t>
  </si>
  <si>
    <t>V-001-01-01-17-02 (SB/VB)</t>
  </si>
  <si>
    <t>V-001-01-01-17-03 (SB/VB)</t>
  </si>
  <si>
    <t>V-001-01-01-17-04 (SB/VB)</t>
  </si>
  <si>
    <t>1.2.6.</t>
  </si>
  <si>
    <t>1.2.7.; 2.1.1.</t>
  </si>
  <si>
    <t>4.1.2.</t>
  </si>
  <si>
    <t>Uždavinio/ priemonės požymis *</t>
  </si>
  <si>
    <t>Stebėsenos rodiklio</t>
  </si>
  <si>
    <t>Siektinos stebėsenos rodiklių reikšmės</t>
  </si>
  <si>
    <t>V-001-01-01-07-06</t>
  </si>
  <si>
    <t>4.4</t>
  </si>
  <si>
    <t>"Babrungo" progimnazijos veikla</t>
  </si>
  <si>
    <t>"Ryto" pagrindinės mokyklos veikla</t>
  </si>
  <si>
    <t>Specialiojo ugdymo centro veikla</t>
  </si>
  <si>
    <t>Senamiesčio mokyklos veikla</t>
  </si>
  <si>
    <t>Liepijų mokyklos veikla</t>
  </si>
  <si>
    <t>Platelių meno mokyklos veikla</t>
  </si>
  <si>
    <t>M. Oginskio meno mokyklos veikla</t>
  </si>
  <si>
    <t>Sporto ir rekreacijos centro veikla</t>
  </si>
  <si>
    <t xml:space="preserve">Paslaugų ir švietimo pagalbos centro veikla  </t>
  </si>
  <si>
    <t>Atviro jaunimo centro veiklos organizavimas</t>
  </si>
  <si>
    <t>"Plungės futbolas" programos įgyvendinimas</t>
  </si>
  <si>
    <t>Skolintos lėšos</t>
  </si>
  <si>
    <t>Savivaldybės aplinkos apsaugos rėmimo specialiosios programos lėšos</t>
  </si>
  <si>
    <t>SB (AA)</t>
  </si>
  <si>
    <t>Kodas</t>
  </si>
  <si>
    <t>tikslo</t>
  </si>
  <si>
    <t>uždavinio</t>
  </si>
  <si>
    <t>priemonės</t>
  </si>
  <si>
    <t>Žemaitijos kadetų gimnazijos veikla</t>
  </si>
  <si>
    <t>Iš viso uždaviniui:</t>
  </si>
  <si>
    <t>Iš viso tikslui:</t>
  </si>
  <si>
    <t>Iš viso programai:</t>
  </si>
  <si>
    <t>1.2.6-1</t>
  </si>
  <si>
    <t>1.2.8-1; 1.2.8-2.</t>
  </si>
  <si>
    <t>4.1.2-1; 4.1.2-2.</t>
  </si>
  <si>
    <t>(tūkst. Eur)</t>
  </si>
  <si>
    <t>1 priedas</t>
  </si>
  <si>
    <t>Asignavimų skirtumas (2024 m.- 2025 m.)</t>
  </si>
  <si>
    <t>Paskolos lėšos</t>
  </si>
  <si>
    <t>Valstybės biudžeto dotacijos lėšos</t>
  </si>
  <si>
    <t>-</t>
  </si>
  <si>
    <t>1.4.1-1; 1.4.1-2.</t>
  </si>
  <si>
    <t>Patobulintų veikiančių informacinių sistemų, kurios mažina administracinę naštą skaičius</t>
  </si>
  <si>
    <t>P-002-02-01-02-01</t>
  </si>
  <si>
    <t>1.4.1.</t>
  </si>
  <si>
    <t>Diegti naujas ir tobulinti veikiančias informacines sistemas</t>
  </si>
  <si>
    <t>NF</t>
  </si>
  <si>
    <t>Sudarytų bendradarbiavimo tarp institucijų dėl teikiamų elektroninių paslaugų sutarčių ir/arba gautų prieigų skaičius</t>
  </si>
  <si>
    <t>P-002-02-01-01-01</t>
  </si>
  <si>
    <t xml:space="preserve">Didinti bendradarbiavimą su institucijomis plečiant teikiamas elektronines paslaugas </t>
  </si>
  <si>
    <t>Savivaldybės administracinės naštos mažinimo priemonių vykdymo plano įgyvendinimo lygis</t>
  </si>
  <si>
    <t>R-002-02-01-01</t>
  </si>
  <si>
    <t>Administracinės naštos mažinimo užtikrinimas</t>
  </si>
  <si>
    <t>Užtikrinti darnų administracinės naštos mažinimo procesą</t>
  </si>
  <si>
    <t>Paremtų religinių bendruomenių skaičius</t>
  </si>
  <si>
    <t>V-002-01-03-03-01</t>
  </si>
  <si>
    <t>Plungės dekanato aptarnaujamų parapijų rėmimas</t>
  </si>
  <si>
    <t>2.1.7-1; 2.1.7-2.</t>
  </si>
  <si>
    <t>Bendruomenių, dalyvavusių pažangos veikloje, skaičius</t>
  </si>
  <si>
    <t>P-002-01-03-02-01 (SB/ VB)</t>
  </si>
  <si>
    <t>2.1.7.</t>
  </si>
  <si>
    <t>Paremtų vietos inciatyvų skaičius</t>
  </si>
  <si>
    <t>V-002-01-03-01-01</t>
  </si>
  <si>
    <t>Bendruomeninių organizacijų veiklos rėmimas</t>
  </si>
  <si>
    <t>Bendruomenių skaičius, gavusių paramą vietos iniciatyvų įgyvendinimui</t>
  </si>
  <si>
    <t>R-002-01-03-01</t>
  </si>
  <si>
    <t>Bendradarbystės centro „Spiečius“ narių skaičius</t>
  </si>
  <si>
    <t>V-002-01-02-02-01</t>
  </si>
  <si>
    <t>Bendradarbystės centro "Spiečius" veiklos organizavimas</t>
  </si>
  <si>
    <t>SVV subjektų, gavusių paramą, skaičius</t>
  </si>
  <si>
    <t>V-002-01-02-01-01</t>
  </si>
  <si>
    <t>Smulkiojo ir vidutinio verslo subjektų rėmimas</t>
  </si>
  <si>
    <t>Veikiančių SVV skaičius, tenkantis 1000 gyventojų</t>
  </si>
  <si>
    <t>R-002-01-02-01</t>
  </si>
  <si>
    <t>Sudaryti palankias sąlygas verslo plėtrai</t>
  </si>
  <si>
    <t>Investicijų projektų, gavusių valstybės biudžeto dotaciją, skaičius (naujo finansavimo periodo)</t>
  </si>
  <si>
    <t>Įgyvendinamų projektų skaičius (naujo finansavimo periodo)</t>
  </si>
  <si>
    <t>Investicijų ir kitų projektų vykdymas (naujo finansavimo periodo)</t>
  </si>
  <si>
    <t>Įgyvendinamų projektų, numatytų 2022-2030 m. Telšių regiono plėtros plane, skaičius</t>
  </si>
  <si>
    <t>P-002-01-01-04-01</t>
  </si>
  <si>
    <t>Investicijų  projektų, numatytų 2022-2030 m. Telšių regiono plėtros plane, vykdymas</t>
  </si>
  <si>
    <t>RP</t>
  </si>
  <si>
    <t>SB(VB)</t>
  </si>
  <si>
    <t>TI</t>
  </si>
  <si>
    <t>V-002-01-01-02-01</t>
  </si>
  <si>
    <t>Parengtos projektinės dokumentacijos skaičius</t>
  </si>
  <si>
    <t>V-002-01-01-01-01</t>
  </si>
  <si>
    <t>Projektinės veiklos organizavimas</t>
  </si>
  <si>
    <t>Lėšų, pritrauktų iš išorinių finansavimo šaltinių, įgyvendinant investicinius ir kitus projektus, dalis</t>
  </si>
  <si>
    <t>R-002-01-01-01</t>
  </si>
  <si>
    <t>1.1.1; 1.1.3; 1.1.5; 1.2.4; 1.2.6; 1.5.1; 1.5.2; 1.5.4; 1.7.3; 1.8.1; 1.8.2; 1.8.3; 1.8.4; 2.1.4; 2.4.4; 3.1.1; 3.3.3;  4.1.1; 4.1.2; 4.1.3; 4.1.4; 4.3.5; 4.4.3; 4.4.5</t>
  </si>
  <si>
    <t>Kurti palankią  aplinką investicijoms ir gyvenimo gerovei</t>
  </si>
  <si>
    <t xml:space="preserve">P </t>
  </si>
  <si>
    <t>PATVIRTINTA</t>
  </si>
  <si>
    <t>2 priedas</t>
  </si>
  <si>
    <t xml:space="preserve">Savivaldybės aplinkos apsaugos rėmimo specialiosios programos lėšos </t>
  </si>
  <si>
    <t xml:space="preserve">Pajamos už prekes ir paslaugas </t>
  </si>
  <si>
    <t>V-003-01-01-04-01 (VB)</t>
  </si>
  <si>
    <t>Savivaldybei priskirtiems geodezijos ir kartografijos darbams (Savivaldybės erdvinių duomenų rinkiniams tvarkyti) organizuoti ir vykdyti</t>
  </si>
  <si>
    <t xml:space="preserve">Parengtų Savivaldybės infrastruktūros pagerinimo/ plėtros techninių projektų skaičius </t>
  </si>
  <si>
    <t>P-003-01-01-03-02</t>
  </si>
  <si>
    <t>Naujų teritorijų planavimo dokumentų  skaičius</t>
  </si>
  <si>
    <t>P-003-01-01-03-01</t>
  </si>
  <si>
    <t>1.2.5; 1.6.3; 1.10.1; 1.10.2; 3.3.2; 4.1.3</t>
  </si>
  <si>
    <t>Savivaldybės infrastruktūros objektų pagerinimo ir plėtros projektinės dokumentacijos rengimas</t>
  </si>
  <si>
    <t xml:space="preserve">Parengtų techninių projektų skaičius </t>
  </si>
  <si>
    <t>V-003-01-01-02-02</t>
  </si>
  <si>
    <t>Pakoreguotų, pakeistų teritorijų planavimo dokumentų skaičius</t>
  </si>
  <si>
    <t>V-003-01-01-02-01</t>
  </si>
  <si>
    <t xml:space="preserve">Architektūros ir teritorijų planavimo proceso organizavimas </t>
  </si>
  <si>
    <t>Atliktų topografinių nuotraukų skaičius</t>
  </si>
  <si>
    <t>V-003-01-01-01-03 (SB/VB)</t>
  </si>
  <si>
    <t>V-003-01-01-01-02 (SB/VB)</t>
  </si>
  <si>
    <t>V-003-01-01-01-01 (SB/VB)</t>
  </si>
  <si>
    <t>Žemėtvarkos proceso (darbų) organizavimas</t>
  </si>
  <si>
    <t>R-003-01-01-03</t>
  </si>
  <si>
    <t>R-003-01-01-02</t>
  </si>
  <si>
    <t>R-003-01-01-01</t>
  </si>
  <si>
    <t>Sudaryti sąlygas subalansuotai rajono teritorijų plėtrai</t>
  </si>
  <si>
    <t>3 priedas</t>
  </si>
  <si>
    <t xml:space="preserve">1.2.5-1; 1.2.5-2; 1.6.3-1; 1.10.1-1; 3.3.2-1; 4.1.3-1.  </t>
  </si>
  <si>
    <t>Suteiktų savivaldybės būstų skaičius</t>
  </si>
  <si>
    <t>P-004-06-01-01-02</t>
  </si>
  <si>
    <t>Specialistų, gavusių kompensacijas, skaičius</t>
  </si>
  <si>
    <t>P-004-06-01-01-01</t>
  </si>
  <si>
    <t>1.1.1.; 1.2.1.; 1.9.3.</t>
  </si>
  <si>
    <t>Savivaldybės įstaigoms reikalingų specialybių darbuotojų pritraukimo finansinis skatinimas</t>
  </si>
  <si>
    <t>Pritrauktų specialistų skaičius</t>
  </si>
  <si>
    <t>R-004-06-01-01</t>
  </si>
  <si>
    <t>Teikti finansavimą Savivaldybės įstaigoms, pritraukusioms reikalingus specialistus</t>
  </si>
  <si>
    <t>Bendrosios prevencijos priemonių, skirtų visuomenės saugumui didinti, skaičius</t>
  </si>
  <si>
    <t>V-004-05-01-01-04</t>
  </si>
  <si>
    <t>Surengtų priemonių pagal situacijų prevencijos planą, skirtų visuomenės saugumui ir viešajai tvarkai užtikrinti skaičius</t>
  </si>
  <si>
    <t>V-004-05-01-01-03</t>
  </si>
  <si>
    <t>Surengtų priemonių eismo saugumo užtikrinimui skaičius</t>
  </si>
  <si>
    <t>V-004-05-01-01-02</t>
  </si>
  <si>
    <t>Atliktų viešosios tvarkos bei visuomenės saugumo užtikrinimo (reidų, renginių) skaičius</t>
  </si>
  <si>
    <t>V-004-05-01-01-01</t>
  </si>
  <si>
    <t>Policijos komisariato programos įgyvendinimas</t>
  </si>
  <si>
    <t>Įgyvendintų neformaliojo švietimo  programų, susijusių su visuomenės saugumu, skaičius</t>
  </si>
  <si>
    <t>R-004-05-01-01</t>
  </si>
  <si>
    <t>Vykdyti nusikalstamų veikų bei teisės pažeidimų prevenciją ir tyrimus</t>
  </si>
  <si>
    <t>Užtikrinti viešosios tvarkos ir visuomenės saugumą bei eismo saugumo kontrolę ir skatinimą</t>
  </si>
  <si>
    <t>V-004-04-01-01-01</t>
  </si>
  <si>
    <t>"Plungės būstas" programos įgyvendinimas</t>
  </si>
  <si>
    <t>Viešojo tualeto paslaugų kompensavimas</t>
  </si>
  <si>
    <t>R-004-04-01-01</t>
  </si>
  <si>
    <t>1.5.2.</t>
  </si>
  <si>
    <t xml:space="preserve">Padidintas socialinio būsto fondas </t>
  </si>
  <si>
    <t>P-004-03-01-01-01(SB/VB)</t>
  </si>
  <si>
    <t>1.5.3</t>
  </si>
  <si>
    <t>Savivaldybės ir socialinio būsto fondo plėtra</t>
  </si>
  <si>
    <t>Asmenų (šeimų), gavusių socialinį būstą, skaičius</t>
  </si>
  <si>
    <t>R-004-03-01-01</t>
  </si>
  <si>
    <t>Siekti pažeidžiamų ir socialinėje atskirtyje esančių gyventojų gerovės ir integracijos</t>
  </si>
  <si>
    <t>Priklausomybių mažinimo programos renginių skaičius</t>
  </si>
  <si>
    <t>P-004-02-02-02-02</t>
  </si>
  <si>
    <t>Priklausomybių mažinimo programos dalyvių skaičius</t>
  </si>
  <si>
    <t>P-004-02-02-02-01</t>
  </si>
  <si>
    <t>Priklausomybių mažinimo programos įgyvendinimas</t>
  </si>
  <si>
    <t>Suteiktų JPSPP gavėjų skaičius</t>
  </si>
  <si>
    <t>V-004-02-02-01-03</t>
  </si>
  <si>
    <t>Privalomųjų mokymų skaičius</t>
  </si>
  <si>
    <t>V-004-02-02-01-02</t>
  </si>
  <si>
    <t>VSB darbuotojų ir ikimokyklinio ugdymo įstaigų visuomenės sveikatos specialistų skaičius</t>
  </si>
  <si>
    <t>V-004-02-02-01-01</t>
  </si>
  <si>
    <t>Visuomenės sveikatos biuro veikla</t>
  </si>
  <si>
    <t>Pravestų teorinių ir praktinių užsiėmimų skaičiaus pokytis (palyginti su praėjusiais metais)</t>
  </si>
  <si>
    <t>R-004-02-02-01</t>
  </si>
  <si>
    <t>1.1.2; 1.1.3</t>
  </si>
  <si>
    <t>Siekti, kad BĮ Plungės rajono savivaldybės visuomenės sveikatos biuras taptų modernia šiuolaikine įstaiga, kurioje dirbs kvalifikuoti, išsilavinę specialistai</t>
  </si>
  <si>
    <t>P-004-02-01-01-03</t>
  </si>
  <si>
    <t>Iš kitų miestų atvykstančių gydytojų skaičius</t>
  </si>
  <si>
    <t>P-004-02-01-01-02</t>
  </si>
  <si>
    <t>1.1.1.; 1.1.5.</t>
  </si>
  <si>
    <t>Ligoninės programos įgyvendinimas</t>
  </si>
  <si>
    <t>Pritrauktų sveikatos priežiūros specialistų skaičius per metus</t>
  </si>
  <si>
    <t>R-004-02-01-02</t>
  </si>
  <si>
    <t>Teikiamų ambulatorinių paslaugų skaičiaus pokytis (skaičiuojama už tuos metus, kai gydytojai pradeda dirbti ir lyginama su praėjusiais metais)</t>
  </si>
  <si>
    <t>R-004-02-01-01</t>
  </si>
  <si>
    <t>1.1.1; 1.1.5.</t>
  </si>
  <si>
    <t>Viešuoju transportu pervežtų keleivių skaičius</t>
  </si>
  <si>
    <t>V-004-01-04-02-01</t>
  </si>
  <si>
    <t>Keleivių ir moksleivių pavėžėjimo užtikrinimas</t>
  </si>
  <si>
    <t>Įsigytų priemonių skaičius</t>
  </si>
  <si>
    <t>P-004-01-04-01-01</t>
  </si>
  <si>
    <t>1.6.2.</t>
  </si>
  <si>
    <t>„Plungės autobusų parkas“ veiklos gerinimas</t>
  </si>
  <si>
    <t>Vidutiniškai vienam gyventojui tenkančių kelionių miesto ir priemiesčio maršrutais skaičius</t>
  </si>
  <si>
    <t>R-004-01-04-01</t>
  </si>
  <si>
    <t>Gerinti pavėžėjimo paslaugų kokybę ir prieinamumą</t>
  </si>
  <si>
    <t>V-004-01-03-01-02 (VB)</t>
  </si>
  <si>
    <t>V-004-01-03-01-01 (VB)</t>
  </si>
  <si>
    <t>Savivaldybės patvirtintai užimtumo didinimo programai įgyvendinti</t>
  </si>
  <si>
    <t>R-004-01-03-01</t>
  </si>
  <si>
    <t>2.2.4.</t>
  </si>
  <si>
    <t>Prisidėti prie užimtumo didinimo rajone</t>
  </si>
  <si>
    <t xml:space="preserve">Socialinės priežiūros paslaugų (laikino apnakvindinimo ir apgyvendinimo) gavėjų skaičius </t>
  </si>
  <si>
    <t>V-004-01-02-03-01</t>
  </si>
  <si>
    <t xml:space="preserve">Krizių centro veikla </t>
  </si>
  <si>
    <t xml:space="preserve">V-004-01-02-02-01 </t>
  </si>
  <si>
    <t>V-004-01-02-01-03</t>
  </si>
  <si>
    <t>V-004-01-02-01-02</t>
  </si>
  <si>
    <t>Globojamų vaikų skaičius</t>
  </si>
  <si>
    <t>Socialinių paslaugų centro veikla</t>
  </si>
  <si>
    <t>Gyventojų, kuriems patenkintas socialinės paslaugų poreikis Plungės socialinių paslaugų centre, dalis</t>
  </si>
  <si>
    <t>R-004-01-02-03</t>
  </si>
  <si>
    <t>Vaikų, kurie gauna dienos socialinės globos paslaugas, dalis nuo poreikio</t>
  </si>
  <si>
    <t>R-004-01-02-02</t>
  </si>
  <si>
    <t>Gyventojų, kuriems patenkintas socialinės paslaugų poreikis Plungės krizių centre, dalis</t>
  </si>
  <si>
    <t>R-004-01-02-01</t>
  </si>
  <si>
    <t>V-004-01-01-13-01 (SB/VB)</t>
  </si>
  <si>
    <t>Socialinėms pašalpoms  ir kompensacijoms skaičiuoti ir mokėti</t>
  </si>
  <si>
    <t>Socialinių dirbtuvių lankytojų skaičius</t>
  </si>
  <si>
    <t>V-004-01-01-11-03</t>
  </si>
  <si>
    <t>Grupinio gyvenimo namų gyventojų skaičius</t>
  </si>
  <si>
    <t>V-004-01-01-11-02</t>
  </si>
  <si>
    <t>Bendruomenės centro paslaugų gavėjų skaičius</t>
  </si>
  <si>
    <t>V-004-01-01-11-01</t>
  </si>
  <si>
    <t>Vaikų dienos centrus lankančių vaikų skaičius</t>
  </si>
  <si>
    <t>V-001-01-01-10-01 (SB/VB)</t>
  </si>
  <si>
    <t>V-004-01-01-09-04</t>
  </si>
  <si>
    <t>Vietinės rinkliavos išlaidų kompensacijų gavėjų skaičius</t>
  </si>
  <si>
    <t>V-004-01-01-09-03</t>
  </si>
  <si>
    <t xml:space="preserve">Vienkartinių pašalpų gavėjų skaičius </t>
  </si>
  <si>
    <t>V-004-01-01-09-02</t>
  </si>
  <si>
    <t>Pagalbos pinigais gavėjų skaičius</t>
  </si>
  <si>
    <t>V-004-01-01-09-01</t>
  </si>
  <si>
    <t xml:space="preserve">Pagalbą gavusių asmenų skaičius </t>
  </si>
  <si>
    <t>V-004-01-01-08-01 (VB)</t>
  </si>
  <si>
    <t>Socialinės paramos organizavimas užsieniečių integracijai</t>
  </si>
  <si>
    <t>V-004-01-01-07-01 (VB)</t>
  </si>
  <si>
    <t>Neveiksnių asmenų būklės peržiūrėjimui užtikrinti</t>
  </si>
  <si>
    <t>Būsto nuomos mokesčio dalies paramos gavėjų skaičius</t>
  </si>
  <si>
    <t>V-004-01-01-06-01 (VB)</t>
  </si>
  <si>
    <t>Būsto nuomos mokesčio daliai kompensuoti</t>
  </si>
  <si>
    <t>VSB darbuotojų kvalifikacijos kėlimo skaičius</t>
  </si>
  <si>
    <t>V-004-01-01-05-06 (VB)</t>
  </si>
  <si>
    <t>Sveikos gyvensenos viešinimo informacijos pateikčių skaičius</t>
  </si>
  <si>
    <t>V-004-01-01-05-05 (VB)</t>
  </si>
  <si>
    <t>val.</t>
  </si>
  <si>
    <t>V-004-01-01-05-04 (VB)</t>
  </si>
  <si>
    <t>V-004-01-01-05-03 (VB)</t>
  </si>
  <si>
    <t>Suorganizuotų renginių skaičius</t>
  </si>
  <si>
    <t>V-004-01-01-05-02 (VB)</t>
  </si>
  <si>
    <t>Visuomenės sveikatos specialistų skaičius</t>
  </si>
  <si>
    <t>V-004-01-01-05-01 (VB)</t>
  </si>
  <si>
    <t>Visuomenės sveikatos priežiūros funkcijoms vykdyti</t>
  </si>
  <si>
    <t>Pritaikytų asmenims su negalia būstų skaičius</t>
  </si>
  <si>
    <t>V-004-01-01-04-01 (SB/VB)</t>
  </si>
  <si>
    <t>Apsaugoto būsto paslaugų gavėjų skaičius</t>
  </si>
  <si>
    <t>V-004-01-01-03-02</t>
  </si>
  <si>
    <t>V-004-01-01-02-02 (VB)</t>
  </si>
  <si>
    <t>Mokinio reikmenų gavėjų skaičius</t>
  </si>
  <si>
    <t>V-004-01-01-02-01 (VB)</t>
  </si>
  <si>
    <t>Socialinei paramai mokiniams</t>
  </si>
  <si>
    <t xml:space="preserve">Laidojimo pašalpų gavėjų skaičius </t>
  </si>
  <si>
    <t>V-004-01-01-01-01 (VB)</t>
  </si>
  <si>
    <t>Socialinėms išmokoms ir kompensacijoms skaičiuoti ir mokėti</t>
  </si>
  <si>
    <t>Visuomenės sveikatos biuro teikiamų paslaugų gavėjų skaičiaus pokytis (palyginti su praėjusiais metais)</t>
  </si>
  <si>
    <t>R-004-01-01-02</t>
  </si>
  <si>
    <t>Gyventojų, kuriems suteiktos bendrųjų ir socialinės priežiūros paslaugų, skaičiaus pokytis (lyginant su praėjusiais metais)</t>
  </si>
  <si>
    <t>R-004-01-01-01</t>
  </si>
  <si>
    <t>1.1.2; 1.1.4; 1.5.2</t>
  </si>
  <si>
    <t>Mažinti socialinę atskirtį vykdant valstybės ir Savivaldybės socialinės politikos priemones</t>
  </si>
  <si>
    <t>4 priedas</t>
  </si>
  <si>
    <t>V-004-01-01-14-01 (SB/VB)</t>
  </si>
  <si>
    <t>Laikino atokvėpio paslaugų gavėjų skaičius</t>
  </si>
  <si>
    <t>1.5.2-1</t>
  </si>
  <si>
    <t>1.6.2-1</t>
  </si>
  <si>
    <t xml:space="preserve">
1.1.1-1; 1.1.5-1.</t>
  </si>
  <si>
    <t>1.1.1-1; 1.1.5-1.</t>
  </si>
  <si>
    <t>1.1.2-1; 1.1.3-1; 1.1.3-2;  1.1.3-3.</t>
  </si>
  <si>
    <t>1.5.3-1; 1.5.3-2.</t>
  </si>
  <si>
    <t>1.1.1-1; 1.2.1-1; 1.9.3-1.</t>
  </si>
  <si>
    <t>t</t>
  </si>
  <si>
    <t>Surinktas ir sutvarkytas mišrių komunalinių atliekų kiekis</t>
  </si>
  <si>
    <t>V-005-01-02-01-01</t>
  </si>
  <si>
    <t>Komunalinių atliekų surinkimui ir tvarkymui</t>
  </si>
  <si>
    <t>Sutvarkytų atliekų dalis</t>
  </si>
  <si>
    <t>R-005-01-02-01</t>
  </si>
  <si>
    <t>1.8.</t>
  </si>
  <si>
    <t xml:space="preserve">Organizuoti komunalinių atliekų, antrinių žaliavų, pavojingų atliekų, žaliųjų ir stambiagabaričių atliekų surinkimą ir tvarkymą </t>
  </si>
  <si>
    <t>3.3.1; 3.3.2; 3.3.3</t>
  </si>
  <si>
    <t>Įveistų naujų želdinių skaičius</t>
  </si>
  <si>
    <t>Želdinių ekspertizės ir arboristinio įvertinimo parengtų ataskaitų skaičius</t>
  </si>
  <si>
    <t>V-005-01-01-01-08</t>
  </si>
  <si>
    <t>Maudymosi vietų skaičius, kuriuose vykdomi vandens ir smėlio kokybės tyrimai</t>
  </si>
  <si>
    <t>V-005-01-01-01-07</t>
  </si>
  <si>
    <t>V-005-01-01-01-06</t>
  </si>
  <si>
    <t>t.</t>
  </si>
  <si>
    <t>Surinktas ir sutvarkytas atliekų, kurių turėtojo nustatyti neįmanoma arba kuris neegzistuoja, kiekis</t>
  </si>
  <si>
    <t>V-005-01-01-01-05</t>
  </si>
  <si>
    <t>ha</t>
  </si>
  <si>
    <t>Išnaikintų invazinės rūšies augalų - Sosnovskio barščių  kiekis (plotas)</t>
  </si>
  <si>
    <t>V-005-01-01-01-04</t>
  </si>
  <si>
    <t>Ūkios subjektų skaičius, kuriems skirta kompensacija individualių buitinių nuotekų valymo įrenginių įsigijimui ir įrengimui</t>
  </si>
  <si>
    <t>V-005-01-01-01-03</t>
  </si>
  <si>
    <t>Įvykdytų projektų skaičius, kurių  metu įdiegtos prevencinės priemonės apsaugai nuo medžiojamųjų gyvūnų daromos žalos</t>
  </si>
  <si>
    <t>V-005-01-01-01-02</t>
  </si>
  <si>
    <t>Įvykdytų visuomenės sveikatos rėmimo specialiosios programos projektų skaičius</t>
  </si>
  <si>
    <t>V-005-01-01-01-01</t>
  </si>
  <si>
    <t>Specialiosios aplinkos apsaugos rėmimo programos vykdymas</t>
  </si>
  <si>
    <t xml:space="preserve">Patenkintų paraiškų, pateiktų specialiosios aplinkos apsaugos rėmimo programos priemonėms įgyvendinti, dalis nuo pateiktų skaičiaus </t>
  </si>
  <si>
    <t>R-005-01-01-01</t>
  </si>
  <si>
    <t>Siekti sveikos ir švarios gyvenamosios aplinkos bei racionalaus gamtos išteklių naudojimo</t>
  </si>
  <si>
    <t>3.3.1-1; 3.3.2-1; 3.3.3-1.</t>
  </si>
  <si>
    <t>Iš viso tikslui</t>
  </si>
  <si>
    <t>Sutvarkytų kultūrinę vertę turinčių objektų skaičius</t>
  </si>
  <si>
    <t xml:space="preserve"> Kultūros paveldo objektų, kuriuose atlikti remonto ar tvarkybos darbai, skaičius</t>
  </si>
  <si>
    <t>V-006-03-01-05-01</t>
  </si>
  <si>
    <t>4.3.2; 4.3.4</t>
  </si>
  <si>
    <t xml:space="preserve">Kultūros vertybių apsaugos organizavimas  </t>
  </si>
  <si>
    <t>Finansuotų projektų skaičius</t>
  </si>
  <si>
    <t>P-006-03-01-04-01</t>
  </si>
  <si>
    <t xml:space="preserve">Lietuvos kultūros tarybos ir kitų kultūrinių projektų rėmimas                                      </t>
  </si>
  <si>
    <t>V-006-03-01-03-01</t>
  </si>
  <si>
    <t>Miesto šventės ir kitų reprezentacinių renginių organizavimas</t>
  </si>
  <si>
    <t>Meno mėgėjų kolektyvų, kuriems skirta parama rūbų ar instrumentų įsigijimui, skaičius</t>
  </si>
  <si>
    <t>V-006-03-01-02-01</t>
  </si>
  <si>
    <t>Pasiruošimas dainų šventei</t>
  </si>
  <si>
    <t xml:space="preserve">Finansuotų paraiškų skaičius </t>
  </si>
  <si>
    <t>P-006-03-01-01-01</t>
  </si>
  <si>
    <t>4.3.2.; 4.3.4</t>
  </si>
  <si>
    <t>Kultūriniuose renginiuose dalyvavusių dalyvių ir lankytojų skaičiaus padidėjimas (palyginti su praėjusiais metais)</t>
  </si>
  <si>
    <t>R-006-03-01-01</t>
  </si>
  <si>
    <t>Sudaryti sąlygas kultūros ir meno sričių programų finansavimui</t>
  </si>
  <si>
    <t>Skatinti meno plėtrą bei meninę saviraišką</t>
  </si>
  <si>
    <t xml:space="preserve"> Prižiūrėto Mykolo Oginskio rūmų parko plotas</t>
  </si>
  <si>
    <t>V-006-02-01-04-01</t>
  </si>
  <si>
    <t>Parko priežiūra</t>
  </si>
  <si>
    <t xml:space="preserve">Tarptautinių kultūrinių projektų / programų, vykdomų įstaigoje, skaičius </t>
  </si>
  <si>
    <t>V-006-02-01-03-04</t>
  </si>
  <si>
    <t>Muziejuje saugomų eksponatų skaičius</t>
  </si>
  <si>
    <t>V-006-02-01-03-03</t>
  </si>
  <si>
    <t xml:space="preserve">vnt. </t>
  </si>
  <si>
    <t>Muziejuje apsilankiusių asmenų (lankytojų) skaičius</t>
  </si>
  <si>
    <t>V-006-02-01-03-02</t>
  </si>
  <si>
    <t>Muziejaus suorganizuotų renginių/edukacijų/ projektų/ ekskursijų skaičius</t>
  </si>
  <si>
    <t xml:space="preserve">V-006-02-01-03-01 </t>
  </si>
  <si>
    <t>Žemaičių dailės muziejaus veikla</t>
  </si>
  <si>
    <t>Plungės TIC suorganizuotų renginių/edukacijų/ projektų/ ekskursijų skaičius</t>
  </si>
  <si>
    <t>V-006-02-01-02-04</t>
  </si>
  <si>
    <t>Parodų/mugių, kuriose dalyvauta, skaičius</t>
  </si>
  <si>
    <t>V-006-02-01-02-03</t>
  </si>
  <si>
    <t xml:space="preserve">Plungės TIC socialinės medijos (interneto puslapio, socialinių tinklų) lankytojų skaičius </t>
  </si>
  <si>
    <t>V-006-02-01-02-02</t>
  </si>
  <si>
    <t>Plungės TIC išleistų leidinių (rūšių) skaičius</t>
  </si>
  <si>
    <t>V-006-02-01-02-01</t>
  </si>
  <si>
    <t>Turizmo informacijos centro veikla</t>
  </si>
  <si>
    <t xml:space="preserve">Viešosios bibliotekos ir filialų fondų dokumentų skaičius </t>
  </si>
  <si>
    <t>V-006-02-01-01-03 (VB)</t>
  </si>
  <si>
    <t>Viešojoje bibliotekoje ir filialuose suorganizuotų renginių/edukacijų/ projektų/ ekskursijų skaičius</t>
  </si>
  <si>
    <t>V-006-02-01-01-02</t>
  </si>
  <si>
    <t>V-006-02-01-01-01</t>
  </si>
  <si>
    <t xml:space="preserve">Viešosios bibliotekos veikla </t>
  </si>
  <si>
    <t>Muziejaus lankytojų skaičiaus pokytis (palyginti su praėjusiais metais)</t>
  </si>
  <si>
    <t>R-006-02-01-03</t>
  </si>
  <si>
    <t>Viešosios bibliotekos ir filialų skaitytojų dalis nuo visų rajono gyventojų skaičiaus</t>
  </si>
  <si>
    <t>R-006-02-01-02</t>
  </si>
  <si>
    <t>Turizmo informacijos centro lankytojų skaičiaus pokytis (palyginti su praėjusiais metais)</t>
  </si>
  <si>
    <t>R-006-02-01-01</t>
  </si>
  <si>
    <t>Užtikrinti Plungės rajono savivaldybės viešosios bibliotekos, Plungės TIC bei Žemaičių dailės muziejaus funkcionavimo ir informacijos sklaidos sąlygas</t>
  </si>
  <si>
    <t>Tenkinti vietos gyventojų ir rajono svečių informacinius, kultūrinius, švietimo poreikius, prisidėti prie turizmo plėtros rajone</t>
  </si>
  <si>
    <t>Aktyvių meno mėgėjų kolektyvų, veikiančių įstaigoje, skaičius</t>
  </si>
  <si>
    <t>V-006-01-01-05-03</t>
  </si>
  <si>
    <t>V-006-01-01-05-02</t>
  </si>
  <si>
    <t xml:space="preserve">Aktyvių / įgyvendintų kultūrinių, edukacinių ir meno programų / projektų skaičius </t>
  </si>
  <si>
    <t>V-006-01-01-05-01</t>
  </si>
  <si>
    <t>Žlibinų kultūros centro veikla</t>
  </si>
  <si>
    <t>V-006-01-01-04-03</t>
  </si>
  <si>
    <t>V-006-01-01-04-02</t>
  </si>
  <si>
    <t>V-006-01-01-04-01</t>
  </si>
  <si>
    <t>Žemaičių Kalvarijos kultūros centro veikla</t>
  </si>
  <si>
    <t>V-006-01-01-03-03</t>
  </si>
  <si>
    <t>V-006-01-01-03-02</t>
  </si>
  <si>
    <t>V-006-01-01-03-01</t>
  </si>
  <si>
    <t xml:space="preserve">Šateikių kultūros centro veikla </t>
  </si>
  <si>
    <t>V-006-01-01-02-03</t>
  </si>
  <si>
    <t>V-006-01-01-02-02</t>
  </si>
  <si>
    <t>V-006-01-01-02-01</t>
  </si>
  <si>
    <t>Kulių kultūros centro veikla</t>
  </si>
  <si>
    <t>V-006-01-01-01-04</t>
  </si>
  <si>
    <t>V-006-01-01-01-03</t>
  </si>
  <si>
    <t>V-006-01-01-01-02</t>
  </si>
  <si>
    <t>Į įstaigą atvykusių ir ilgalaikius produktus/ paslaugas sukūrusių profesionalių menininkų kūrėjų skaičius</t>
  </si>
  <si>
    <t xml:space="preserve">V-006-01-01-01-01 </t>
  </si>
  <si>
    <t>Kultūros centrų organizuojamų kultūrinių renginių skaičiaus pokytis (palyginti su praėjusiais metais)</t>
  </si>
  <si>
    <t>R-006-01-01-02</t>
  </si>
  <si>
    <t>R-006-01-01-01</t>
  </si>
  <si>
    <t>4.3.1; 4.3.3; 4.3.5</t>
  </si>
  <si>
    <t>Padidinti kultūros centrų teikiamų paslaugų įvairovę ir kokybę</t>
  </si>
  <si>
    <t>Tenkinti vietos gyventojų sociokultūrinius poreikius, sudaryti galimybes kūrybinei saviraiškai</t>
  </si>
  <si>
    <t>6 priedas</t>
  </si>
  <si>
    <t>4.3.1-1; 4.3.3-1; 4.3.3-2; 4.3.5-1.</t>
  </si>
  <si>
    <t>4.3.2-1; 4.3.4-1.</t>
  </si>
  <si>
    <t>Pravestų mokymų skaičius</t>
  </si>
  <si>
    <t>V-007-02-01-03-01</t>
  </si>
  <si>
    <t>Antikorupcinio sąmoningumo didinimas</t>
  </si>
  <si>
    <t>Įgyvendinamų priemonių skaičius</t>
  </si>
  <si>
    <t>V-007-02-01-02-01</t>
  </si>
  <si>
    <t>Savivaldybės lygių galimybių užtikrinimo priemonių vykdymo planas</t>
  </si>
  <si>
    <t>Suorganizuotų mokymų skaičius lyčių lygybės tema</t>
  </si>
  <si>
    <t>V-007-02-01-01-01</t>
  </si>
  <si>
    <t>Lyčių lygybės užtikrinimas</t>
  </si>
  <si>
    <t>Savivaldybės lygių galimybių ir korupcijos prevencijos stiprinimo vykdymo plano įgyvendinimo lygis</t>
  </si>
  <si>
    <t>R-007-02-01-01</t>
  </si>
  <si>
    <t>Užtikrinti lyčių lygybės, lygių galimybių ir korupcijos prevencijos stiprinimo vykdymą</t>
  </si>
  <si>
    <t>Gerinti Savivaldybės valdymo ir veiklos efektyvumą</t>
  </si>
  <si>
    <t>Įsigytų priemonių, įrangos, įrenginių skaičius (vnt.)</t>
  </si>
  <si>
    <t>P-007-01-05-01-05</t>
  </si>
  <si>
    <t>Energetinio naudingumo sertifikatų skaičius</t>
  </si>
  <si>
    <t>P-007-01-05-01-04</t>
  </si>
  <si>
    <t xml:space="preserve">Atliktų nekilnojamojo turto vertinimų skaičius </t>
  </si>
  <si>
    <t>P-007-01-05-01-03</t>
  </si>
  <si>
    <t>Įregistruotų nekilnojamojo turto registre bylų skaičius</t>
  </si>
  <si>
    <t>P-007-01-05-01-02</t>
  </si>
  <si>
    <t>Atliktų kadastrinių matavimų bylų skaičius</t>
  </si>
  <si>
    <t>P-007-01-05-01-01</t>
  </si>
  <si>
    <t>Savivaldybės turto valdymas</t>
  </si>
  <si>
    <t>Parduotų objektų skaičius</t>
  </si>
  <si>
    <t>R-007-01-05-02</t>
  </si>
  <si>
    <t xml:space="preserve">Skirtų lėšų nuosavybės teise priklausančiam nekilnojamajam turtui kadastrinių matavimų byloms sudaryti, teisinei registracijai atlikti ir rinkos vertėms nustatyti pokytis (lyginant su praėjusiais metais)       </t>
  </si>
  <si>
    <t>R-007-01-05-01</t>
  </si>
  <si>
    <t>Efektyviai valdyti savivaldybės turtą</t>
  </si>
  <si>
    <t>Paskatintų sodybų ir ūkininkų skaičius</t>
  </si>
  <si>
    <t>V-007-01-04-01-02</t>
  </si>
  <si>
    <t>V-007-01-04-01-01</t>
  </si>
  <si>
    <t>Kaimo rėmimui</t>
  </si>
  <si>
    <t>Pateiktų paraiškų finansuoti programos lėšomis, skaičius</t>
  </si>
  <si>
    <t>R-007-01-04-01</t>
  </si>
  <si>
    <t>Didinti žemės ūkio šakos patrauklumą</t>
  </si>
  <si>
    <t>Sumokėtų palūkanų dalis</t>
  </si>
  <si>
    <t>V-007-01-03-02-01</t>
  </si>
  <si>
    <t>Palūkanų mokėjimas</t>
  </si>
  <si>
    <t>Grąžintų paskolų dalis</t>
  </si>
  <si>
    <t>V-007-01-03-01-01</t>
  </si>
  <si>
    <t>Paskolų grąžinimas</t>
  </si>
  <si>
    <t>Finansinių įsipareigojimų vykdymo lygis</t>
  </si>
  <si>
    <t>R-007-01-03-01</t>
  </si>
  <si>
    <t>Užtikrinti paskolų ir kitų  grąžintinų lėšų grąžinimą ir palūkanų mokėjimą</t>
  </si>
  <si>
    <t>Patikėjimo teise valdomoje valstybinėje žemėje sutikimų išdavimas</t>
  </si>
  <si>
    <t>V-007-01-02-15-02 (VB)</t>
  </si>
  <si>
    <t>Sudarytos valstybinės žemės nuomos ir panaudos sutartys</t>
  </si>
  <si>
    <t>V-007-01-02-15-01 (VB)</t>
  </si>
  <si>
    <t>Suorganizuotų Vaiko gerovės komisijos posėdžių dėl prašymų skirti, pratęsti, panaikinti vaiko minimalios priežiūros priemones ar dėl  koordinuotai teikiamų paslaugų skyrimo vaikui (šeimai)</t>
  </si>
  <si>
    <t>V-007-01-02-14-01 (VB)</t>
  </si>
  <si>
    <t>Koordinuotai teikiamų paslaugų vaikams nuo gimimo iki 18 metų (turintiems didelių ir labai didelių specialiųjų ugdymosi poreikių – iki 21 metų) ir vaiko atstovams koordinavimui finansuoti</t>
  </si>
  <si>
    <t>V-007-01-02-13-01 (VB)</t>
  </si>
  <si>
    <t>Jaunimo teisių apsaugai</t>
  </si>
  <si>
    <t>Išduotų archyvinių pažymų skaičius</t>
  </si>
  <si>
    <t>V-007-01-02-12-01 (VB)</t>
  </si>
  <si>
    <t>Savivaldybei priskirtiems archyviniams dokumentams tvarkyti</t>
  </si>
  <si>
    <t>km</t>
  </si>
  <si>
    <t>Prižiūrėtų melioracijos griovių ilgis</t>
  </si>
  <si>
    <t>V-007-01-02-11-03 (VB)</t>
  </si>
  <si>
    <t>Įgyvendintų melioracijos ir hidrotechninių statinių  remonto (avarinio remonto), priežiūros darbų skaičius</t>
  </si>
  <si>
    <t>V-007-01-02-11-02 (VB)</t>
  </si>
  <si>
    <t>Apskaitomas melioruotas, priklausantis savivaldybei, patikėjimo teise valdomas (prižiūrimas) žemės plotas</t>
  </si>
  <si>
    <t>V-007-01-02-11-01 (VB)</t>
  </si>
  <si>
    <t>Valstybei nuosavybės teise priklausančių melioracijos ir hidrotechnikos statinių valdymui ir naudojimui patikėjimo teise užtikrinti</t>
  </si>
  <si>
    <t xml:space="preserve">Darbuotojų, atliekančių valstybines (valstybės perduotas savivaldybėms) funkcijas, skaičius </t>
  </si>
  <si>
    <t>V-007-01-01-10-01 (VB)</t>
  </si>
  <si>
    <t>Žemės ūkio funkcijoms atlikti</t>
  </si>
  <si>
    <t>Gyvenamosios vietos deklaracijų, asmenų pateiktų elektroniniu būdu, dalies didėjimas per metus ne mažiau kaip 1,5 proc.</t>
  </si>
  <si>
    <t>V-007-01-02-09-01 (VB)</t>
  </si>
  <si>
    <t>Gyvenamosios vietos deklaravimo duomenų ir gyvenamosios vietos neturinčių asmenų apskaitos duomenims tvarkyti</t>
  </si>
  <si>
    <t>V-007-01-02-08-04 (VB)</t>
  </si>
  <si>
    <t>Užgesintų gaisrų skaičius</t>
  </si>
  <si>
    <t>V-007-01-02-08-02</t>
  </si>
  <si>
    <t>Išvykimų į kitus darbus skaičius</t>
  </si>
  <si>
    <t>V-007-01-02-08-01</t>
  </si>
  <si>
    <t>Priešgaisrinei saugai</t>
  </si>
  <si>
    <t>Savivaldybės pasirengimo reaguoti į ekstremalias situacijas lygis, ne žemesnis kaip, proc.</t>
  </si>
  <si>
    <t>V-007-01-02-07-01 (VB)</t>
  </si>
  <si>
    <t>Civilinei saugai</t>
  </si>
  <si>
    <t>Atliktų asmenų archyvinių įrašų skaičius</t>
  </si>
  <si>
    <t>V-007-01-02-06-01 (VB)</t>
  </si>
  <si>
    <t>Gyventojų registrui tvarkyti ir duomenims valstybės registrui  teikti</t>
  </si>
  <si>
    <t xml:space="preserve">Suteiktų teisinių konsultacijų skaičius </t>
  </si>
  <si>
    <t>V-007-01-02-05-01 (VB)</t>
  </si>
  <si>
    <t>Valstybės garantuojamai pirminei teisinei pagalbai teikti</t>
  </si>
  <si>
    <t>Civilinių aktų įrašų/ išrašų išdavimas</t>
  </si>
  <si>
    <t>V-007-01-02-04-03 (VB)</t>
  </si>
  <si>
    <t>V-007-01-02-04-02 (VB)</t>
  </si>
  <si>
    <t>V-007-01-02-04-01 (VB)</t>
  </si>
  <si>
    <t>Civilinės būklės aktams registruoti</t>
  </si>
  <si>
    <t xml:space="preserve">Darbuotojų, atliekančių valstybinės kalbos vartojimo taisyklingumo kontrolę, skaičius </t>
  </si>
  <si>
    <t>V-007-01-02-03-01 (VB)</t>
  </si>
  <si>
    <t>Valstybinės kalbos vartojimo ir taisyklingumo kontrolei</t>
  </si>
  <si>
    <t xml:space="preserve">Savivaldybės mobilizacijos plano parengimas, atnaujinimas ir pasirengimas mobilizacijai ir priimančios šalies paramai teikti </t>
  </si>
  <si>
    <t>V-007-01-02-02-01 (VB)</t>
  </si>
  <si>
    <t>Dalyvauti rengiant ir vykdant mobilizaciją, demobilizaciją, priimančiosios  šalies paramą</t>
  </si>
  <si>
    <t xml:space="preserve">Suteiktos valstybės pagalbos registrui pateiktų registro objektų skaičius </t>
  </si>
  <si>
    <t>V-007-01-02-01-01 (VB)</t>
  </si>
  <si>
    <t>Duomenims į suteiktos valstybės  pagalbos  ir nereikšmingos  pagalbos registrą teikti</t>
  </si>
  <si>
    <t>Valstybinių funkcijų įgyvendinimui skirtų lėšų įsisavinimas</t>
  </si>
  <si>
    <t>R-007-01-02-01</t>
  </si>
  <si>
    <t>Vykdyti valstybines (valstybės perduotas savivaldybei) funkcijas</t>
  </si>
  <si>
    <t>Paremtų asmenų skaičius</t>
  </si>
  <si>
    <t>V-007-01-01-06-01</t>
  </si>
  <si>
    <t>Mero rezervas</t>
  </si>
  <si>
    <t>Etatų, kurie vykdo  funkcijas, finansuojamas iš valstybės biudžeto, skaičius</t>
  </si>
  <si>
    <t>V-007-01-01-05-02 (VB)</t>
  </si>
  <si>
    <t>Darbuotojų (etatų), dirbančių centralizuotoje buhalterijoje, skaičius</t>
  </si>
  <si>
    <t>V-007-01-01-05-01</t>
  </si>
  <si>
    <t>Paslaugų ir švietimo pagalbos centro veikla</t>
  </si>
  <si>
    <t>Prižiūrimų žaliųjų plotų dydis</t>
  </si>
  <si>
    <t>V-007-01-01-04-06</t>
  </si>
  <si>
    <t>Prižiūrimų seniūnijų vietinės reikšmės kelių ir gatvių ilgis</t>
  </si>
  <si>
    <t>V-007-01-01-04-05</t>
  </si>
  <si>
    <t>Prižiūrimų veikiančių kapinių plotas</t>
  </si>
  <si>
    <t>V-007-01-01-04-04</t>
  </si>
  <si>
    <t xml:space="preserve">Priimtų prašymų įvairioms socialinėms išmokoms ir paslaugoms gauti skaičius </t>
  </si>
  <si>
    <t>V-007-01-01-04-03</t>
  </si>
  <si>
    <t>Pateiktų žemės ūkio naudmenų deklaravimo paraiškų skaičius</t>
  </si>
  <si>
    <t>V-007-01-01-04-02</t>
  </si>
  <si>
    <t>V-007-01-01-04-01</t>
  </si>
  <si>
    <t>Seniūnijų veikla</t>
  </si>
  <si>
    <t>Atliktų garantijų suteikimo vertinimų skaičius</t>
  </si>
  <si>
    <t>V-007-01-01-03-04</t>
  </si>
  <si>
    <t>Atliktų paskolos ėmimo galimybių vertinimų skaičius</t>
  </si>
  <si>
    <t>V-007-01-01-03-03</t>
  </si>
  <si>
    <t>V-007-01-01-03-02</t>
  </si>
  <si>
    <t>V-007-01-01-03-01</t>
  </si>
  <si>
    <t>Savivaldybės kontrolės ir audito tarnybos darbo užtikrinimas</t>
  </si>
  <si>
    <t>Darbuotojų, dirbančių pagal darbo sutartis, skaičius</t>
  </si>
  <si>
    <t>V-007-01-01-02-03</t>
  </si>
  <si>
    <t>Karjeros tarnautojų skaičius</t>
  </si>
  <si>
    <t>V-007-01-01-02-02</t>
  </si>
  <si>
    <t>Kvalifikaciją kėlusių darbuotojų skaičius</t>
  </si>
  <si>
    <t>V-007-01-01-02-01</t>
  </si>
  <si>
    <t>Savivaldybės administracijos veikla</t>
  </si>
  <si>
    <t>Įvykusių Savivaldybės tarybos komitetų ir Savivaldybės tarybos ir  kolegijos posėdžių kaičius</t>
  </si>
  <si>
    <t>V-007-01-01-01-02</t>
  </si>
  <si>
    <t>Priimtų Savivaldybės  tarybos sprendimų, skaičius</t>
  </si>
  <si>
    <t>V-007-01-01-01-01</t>
  </si>
  <si>
    <t>Savivaldybės tarybos veikla</t>
  </si>
  <si>
    <t>Savivaldybės administracijos darbuotojų etatų skaičiaus pokytis</t>
  </si>
  <si>
    <t>R-007-01-01-02</t>
  </si>
  <si>
    <t xml:space="preserve">Asmenų, deklaravusių gyvenamąją vietą elektroninėmis deklaravimo priemonėmis, skaičius nuo visų deklaruojančiųjų skaičiaus </t>
  </si>
  <si>
    <t>R-007-01-01-01</t>
  </si>
  <si>
    <t>Sudaryti sąlygas kokybiškai įgyvendinti Savivaldybės funkcijas</t>
  </si>
  <si>
    <t>Organizuoti ir užtikrinti tęstinę Savivaldybės veiklą</t>
  </si>
  <si>
    <t>7 priedas</t>
  </si>
  <si>
    <t>Pateiktų iniciatyvų projektams įgyvendinti skaičius</t>
  </si>
  <si>
    <t>P-008-01-01-07-01</t>
  </si>
  <si>
    <t>Dalyvaujamojo biudžeto įgyvendinimas</t>
  </si>
  <si>
    <t xml:space="preserve">Pasirašytų infrastruktūros plėtros sutarčių skaičius  </t>
  </si>
  <si>
    <t>V-008-01-01-06-01</t>
  </si>
  <si>
    <t>Savivaldybės infrastruktūros plėtra tikslinėmis lėšomis</t>
  </si>
  <si>
    <t>V-008-01-01-05-01</t>
  </si>
  <si>
    <t>Infrastruktūros plėtra Savivaldybės ir fizinių ar juridinių asmenų jungtinės veiklos pagrindu</t>
  </si>
  <si>
    <t>Nutiestų ir (ar) atnaujintų vietinės reikšmės kelių / gatvių ilgis</t>
  </si>
  <si>
    <t>P-008-01-01-04-01 (SB/ VB)</t>
  </si>
  <si>
    <t>1.7.2.</t>
  </si>
  <si>
    <t>Savivaldybės vietinės reikšmės kelių (gatvių) bei eismo saugumo priemonių plėtra, prisidedant prie darnaus judumo</t>
  </si>
  <si>
    <t>Remontuotų ir prižiūrėtų kelių ilgis</t>
  </si>
  <si>
    <t>V-008-01-01-03-01 (SB/ VB)</t>
  </si>
  <si>
    <t>Savivaldybės vietinės reikšmės keliams (gatvėms) tiesti, taisyti, prižiūrėti ir saugaus eismo sąlygoms užtikrinti</t>
  </si>
  <si>
    <t>Pagerintų, naujai įrengtų infrastruktūros objektų skaičius</t>
  </si>
  <si>
    <t>P-008-01-01-02-01</t>
  </si>
  <si>
    <t>1.2.5; 1.7.3; 1.9.1; 3.1.3</t>
  </si>
  <si>
    <t>Savivaldybės infrastruktūros objektų plėtra</t>
  </si>
  <si>
    <t>Remontuotų, prižiūrėtų infrastruktūros objektų skaičius</t>
  </si>
  <si>
    <t>V-008-01-01-01-01</t>
  </si>
  <si>
    <t>Savivaldybės infrastruktūros objektų planavimas, remontas ir priežiūra</t>
  </si>
  <si>
    <t>Kartu su visuomene įgyvendintų projektų skaičiaus pokytis (palyginti praėjusiais metais)</t>
  </si>
  <si>
    <t xml:space="preserve">Vietinės reikšmės kelių ir gatvių su asfaltbetonio danga, dalis </t>
  </si>
  <si>
    <t>R-008-01-01-03</t>
  </si>
  <si>
    <t>R-008-01-01-02</t>
  </si>
  <si>
    <t>R-008-01-01-01</t>
  </si>
  <si>
    <t>1.2.5; 1.7.2; 1.7.3; 1.9.1; 2.1.7; 3.1.3</t>
  </si>
  <si>
    <t>Gerinti aplinkos kokybę, plėtoti infrastruktūrą, sudaryti geresnes sąlygas gyventi ir dirbti</t>
  </si>
  <si>
    <t xml:space="preserve">                                                 </t>
  </si>
  <si>
    <t xml:space="preserve">                                             </t>
  </si>
  <si>
    <t>8 priedas</t>
  </si>
  <si>
    <t>1.2.5-1; 1.2.5-2; 1.7.3-1;  1.9.1-1; 3.1.3-1.</t>
  </si>
  <si>
    <t>1.7.2-1</t>
  </si>
  <si>
    <t>Plungės rajono savivaldybės tarybos</t>
  </si>
  <si>
    <t xml:space="preserve">Plungės rajono savivaldybės </t>
  </si>
  <si>
    <t>* P - pažangos uždavinys, T - tęstinės veiklos uždavinys, RP - regiono pažangos priemonė (projektas), PP - pažangos priemonė (projektas), TP - tęstinės veiklos priemonė, NF - nefinansinė priemonė, TE - tęstinė veiklos priemonė, skirta 2014-2020 m. nacionalinei pažangos programai / ES fondų investicijų veiksmų programai įgyvendinti, TI - tęstinė veiklos priemonė, pagal kurią planuojami tęstiniai investiciniai projektai (pereinamojo laikotarpio).</t>
  </si>
  <si>
    <t>V-004-05-01-01-05</t>
  </si>
  <si>
    <t>Pritrauktų pareigūnų skaičius</t>
  </si>
  <si>
    <t>Savivaldybės strateginio plėtros plano tikslo/uždavinio kodas**</t>
  </si>
  <si>
    <t>Savivaldybės strateginio plėtros plano rodiklio kodas**</t>
  </si>
  <si>
    <t xml:space="preserve">** https://www.plunge.lt/administracine-informacija/planavimo-dokumentai/ilgalaikiai-planavimo-dokumentai/plunges-rajono-savivaldybes-2021-2030-metu-strateginis-pletros-planas/ </t>
  </si>
  <si>
    <t>Programos tikslo/uždavinio/priemonės pavadinimas ir finansavimo šaltiniai</t>
  </si>
  <si>
    <t>5 priedas</t>
  </si>
  <si>
    <t>Socialinių paslaugų organizavimas</t>
  </si>
  <si>
    <t>Akredituotos vaikų dienos socialinės priežiūros organizavimas</t>
  </si>
  <si>
    <t>Būsto pritaikymo asmenims su negalia organizavimas</t>
  </si>
  <si>
    <t>V-004-01-01-15-01 (SB/VB)</t>
  </si>
  <si>
    <t>V-004-01-01-16-01</t>
  </si>
  <si>
    <t>Padidinti informacinių technologijų naudojimą bendrojo ugdymo mokyklose</t>
  </si>
  <si>
    <t>Mokinių aprūpinimas IKT įranga bendrojo ugdymo mokyklose</t>
  </si>
  <si>
    <t>NVO projektų teikiant socialines paslaugas bendruomenėje finansavimas</t>
  </si>
  <si>
    <t>Apsaugos nuo  smurto artimoje aplinkoje prevencija</t>
  </si>
  <si>
    <t>V-007-02-01-04-01</t>
  </si>
  <si>
    <t>V-007-02-01-04-02</t>
  </si>
  <si>
    <t>Išleisto leidinio apie smurto rūšis, pasekmes ir kaip atpažinti smurto požymius tiražas</t>
  </si>
  <si>
    <t>Įgyvendinamų projektų skaičius (pereinamojo laikotarpio)</t>
  </si>
  <si>
    <t>Krepšinio komandos Plungės "Olimpas" rėmimas</t>
  </si>
  <si>
    <t>Vaikų, gaunančių konsultavimo paslaugas įtraukiojo ugdymo klausimais skaičius</t>
  </si>
  <si>
    <t>TE</t>
  </si>
  <si>
    <t>Investicijų ir kitų projektų, skirtų 2014-2020 m. nacionalinei pažangos programai/ ES fondų investicijų programai, vykdymas</t>
  </si>
  <si>
    <t>Įgyvendinamų projektų skaičius (2014-2020 m. periodo)</t>
  </si>
  <si>
    <t>Socialinės reabilitacijos paslaugų asmenims su negalia bendruomenėje organizavimas</t>
  </si>
  <si>
    <t>Asmenų su negalia reikalų koordinavimo funkcijos atlikimas</t>
  </si>
  <si>
    <t>Laikino atokvėpio paslaugos organizavimas</t>
  </si>
  <si>
    <t xml:space="preserve">Socialinės globos paslaugų gavėjų skaičius </t>
  </si>
  <si>
    <t xml:space="preserve">Vaikų su negalia, gaunančių dienos socialinės globos paslaugas, skaičius </t>
  </si>
  <si>
    <t>Plungės kultūros centro veikla</t>
  </si>
  <si>
    <t>Strateginių Plungės rajono renginių organizavimas</t>
  </si>
  <si>
    <t>Finansuotų renginių skaičius</t>
  </si>
  <si>
    <t>Užtikrinti  kultūros paveldo apsaugą</t>
  </si>
  <si>
    <t>Užtikrinti kultūros paveldo apskaitą, tvarkymą, saugojimą, sklaidą, priežiūrą ir įveiklinimą</t>
  </si>
  <si>
    <t>R-006-04-01-01</t>
  </si>
  <si>
    <t>V-006-04-01-01-01</t>
  </si>
  <si>
    <t>V-006-04-01-01-02</t>
  </si>
  <si>
    <t xml:space="preserve">Gyventojų, kuriems užtikrinta vieta priedangose, dalis </t>
  </si>
  <si>
    <t>P-007-01-06-01-01</t>
  </si>
  <si>
    <t>Gyventojų perspėjimas ir informavimas, nemažiau kaip 60 procentų gyventojų populiacijos</t>
  </si>
  <si>
    <t>Atliktų savivaldybės ataskaitų rinkinio finansinį  auditą skaičius</t>
  </si>
  <si>
    <t xml:space="preserve">Atlikti veiklos auditą </t>
  </si>
  <si>
    <t>Valstybinės (valstybės perduotos savivaldybėms) užregistruoti civilinės būklės aktų  įrašų skaičius</t>
  </si>
  <si>
    <t>Infrastruktūros plėtros įgyvendintų objektų skaičius jungtinės veiklos pagrindu</t>
  </si>
  <si>
    <t xml:space="preserve">** https://www.plunge.lt/administracine-informacija/planavimo-dokumentai/ilgalaikiai-planavimo-dokumentai/plunges-rajono-savivaldybes-2021-2030-metu-strateginis-pletros-planas/   </t>
  </si>
  <si>
    <t>Bendruomeninės veiklos Savivaldybėje stiprinimas</t>
  </si>
  <si>
    <t>Plėtoti socialinės globos ir kitas socialines paslaugas Savivaldybės teritorijoje</t>
  </si>
  <si>
    <t xml:space="preserve">Gerinti Savivaldybės gyventojų sveikatos lygį bei sveikatos priežiūros paslaugų prieinamumą ir kokybę </t>
  </si>
  <si>
    <t xml:space="preserve">Skatinti jaunimo savirealizaciją bei jaunimo iniciatyvas, inicijuoti ir koordinuoti Savivaldybės jaunimo politikos formavimą ir jaunimo veiklos organizavimą </t>
  </si>
  <si>
    <t>Užtikrinti kompleksišką  ir subalansuotą Savivaldybės raidą</t>
  </si>
  <si>
    <t>Skatinti bendruomeniškumą Savivaldybėje</t>
  </si>
  <si>
    <t>Padidinti kokybiškų ir kvalifikuotų asmens sveikatos priežiūros paslaugų prieinamumą Savivaldybės gyventojams</t>
  </si>
  <si>
    <t>Užtikrinti Savivaldybei reikalingų specialistų pritraukimą</t>
  </si>
  <si>
    <t>Sumažinti taršą ir jos poveikį aplinkai, kompensuoti aplinkai padarytą žalą bei sukurti subalansuotą ir sveiką aplinką Savivaldybės teritorijoje</t>
  </si>
  <si>
    <t>Eksploatuoti, remontuoti, prižiūrėti ir plėtoti infrastruktūros objektus Savivaldybės teritorijoje</t>
  </si>
  <si>
    <t>Organizuoti ir įgyvendinti valstybės bei Savivaldybės teikiamą socialinę paramą Savivaldybėje</t>
  </si>
  <si>
    <t xml:space="preserve">Bendruomenės centro programos įgyvendinimas </t>
  </si>
  <si>
    <t>1.2.2; 1.2.6; 1.2.7</t>
  </si>
  <si>
    <t>1.5.2; 3.1.1.</t>
  </si>
  <si>
    <r>
      <rPr>
        <sz val="10"/>
        <color theme="1"/>
        <rFont val="Times New Roman"/>
        <family val="1"/>
        <charset val="186"/>
      </rPr>
      <t xml:space="preserve">1.2.4; 4.1.3; 4.1.4; </t>
    </r>
    <r>
      <rPr>
        <sz val="10"/>
        <rFont val="Times New Roman"/>
        <family val="1"/>
        <charset val="186"/>
      </rPr>
      <t xml:space="preserve">
</t>
    </r>
  </si>
  <si>
    <t>Sveikatos priežiūros specialistai, įgyjantys universitetinį išsilavinimą</t>
  </si>
  <si>
    <t>1.1.2; 1.1.3.</t>
  </si>
  <si>
    <t>1.6.4; 1.9.1.</t>
  </si>
  <si>
    <t>1.1.1; 1.1.5; 1.2.2; 1.2.5; 1.2.6; 1.5; 1.5.2; 1.6.2; 2.1.6; 3.1.1; 4.1.2; 4.3.7; 4.4.5.</t>
  </si>
  <si>
    <t>4.3; 4.3.2; 4.3.4</t>
  </si>
  <si>
    <t>4.3-1; 4.3-2; 4.3-3; 4.3.2-1; 4.3.4-1.</t>
  </si>
  <si>
    <t>4.3.</t>
  </si>
  <si>
    <t>4.3-1; 4.3-2; 4.3-3.</t>
  </si>
  <si>
    <t>4.2; 4.2.5; 4.3.2; 4.3.5; 4.4.1; 4.4.5</t>
  </si>
  <si>
    <t xml:space="preserve"> 1.1.1; 1.1.3; 1.2.5; 1.5.1; 1.5.2; 1.5.4; 1.8.1; 1.8.2; 1.8.3; 2.1.2; 2.1.4; 3.3; 3.3.3; 4.2.1; 4.4.2; 4.4.3; 4.4.4; 4.4.5.</t>
  </si>
  <si>
    <t xml:space="preserve"> 2.1; 2.1.2; 2.3.</t>
  </si>
  <si>
    <t>1.2.5; 1.6.3; 1.10; 1.10.1; 1.10.2; 2.1.5; 3.3.2; 4.1.3</t>
  </si>
  <si>
    <t>1.6.4; 1.9; 1.9.1.</t>
  </si>
  <si>
    <t>V-004-01-01-07-02 (VB)</t>
  </si>
  <si>
    <t>V-004-01-01-07-03 (VB)</t>
  </si>
  <si>
    <t>Neveiksnių asmenų būklės peržiūrėjimo komisijos inicijuotų asmens būklės peržiūrėjimo bylų skaičius</t>
  </si>
  <si>
    <t>Išnagrinėtų Neveiksnių asmenų būklės peržiūrėjimo komisijos
inicijuotų asmens būklės peržiūrėjimo bylų skaičius</t>
  </si>
  <si>
    <t>Neveiksnių asmenų būklės peržiūrėjimo komisijos priimtų sprendimų kreiptis į teismą skaičius</t>
  </si>
  <si>
    <t>Nemokamo maitinimo gavėjų skaičius per mėn.</t>
  </si>
  <si>
    <t>Asmenų dalis iš užimtumo didinimo programų dalyvių skaičiaus, pasibaigus užimtumo programoms, po 6 mėnesių dirbantys arba vykdantys savarankišką veiklą</t>
  </si>
  <si>
    <t>Šeimų, gaunančių socialines paslaugas, skaičius</t>
  </si>
  <si>
    <t>Asmeninės pagalbos teikimo organizavimas</t>
  </si>
  <si>
    <t>V-004-01-01-17-01</t>
  </si>
  <si>
    <t>Asmenų, kuriems suteikta asmeninė pagalba, skaičius</t>
  </si>
  <si>
    <t>Finansinės paramos pirmąjį būstą įsigyjančioms jaunoms šeimoms teikimas</t>
  </si>
  <si>
    <t>Sudaryti sąlygas įsigyti būstą pažeidžiamiausioms gyventojų grupėms</t>
  </si>
  <si>
    <t>P-004-03-01-01-02</t>
  </si>
  <si>
    <t>Šeimų, gavusių finansinę paramą pirmąjį būstą įsigyjančioms jaunoms šeimoms, skaičius</t>
  </si>
  <si>
    <t>V-004-01-01-01-02 (VB)</t>
  </si>
  <si>
    <t>R-001-01-01-08</t>
  </si>
  <si>
    <t>V-004-01-01-03-01</t>
  </si>
  <si>
    <t>Psichikos sveikatos stiprinimo suteiktų individualių konsultacijų trukmė</t>
  </si>
  <si>
    <t>Psichikos sveikatos stiprinimo suteiktų grupinių konsultacijų ar užsiėmimų trukmė</t>
  </si>
  <si>
    <t>V-004-01-02-01-01</t>
  </si>
  <si>
    <t>Nedarbo lygis rajone</t>
  </si>
  <si>
    <t>R-004-01-03-02</t>
  </si>
  <si>
    <t>Užtikrinti nuoseklų Savivaldybės teritorijos vystymąsi</t>
  </si>
  <si>
    <t>Valstybinės žemės sklypų suformuotų pardavimo ir nuomos aukcionams bendras plotas</t>
  </si>
  <si>
    <t>Gerinti ugdymo kokybę bei užtikrinti švietimo pagalbą Savivaldybės švietimo įstaigose</t>
  </si>
  <si>
    <t>Organizuoti kokybišką švietimo pagalbą ir rūpintis pagalbos prieinamumu Savivaldybėje</t>
  </si>
  <si>
    <t>Organizuoti jaunimo užimtumą, skatinti ir remti Savivaldybės jaunimo savanorišką veiklą bei vykdomas veiklos programas</t>
  </si>
  <si>
    <t>Plėtoti Savivaldybės gyventojų fizinį ugdymą, sudaryti jiems palankias sąlygas sportuoti</t>
  </si>
  <si>
    <t>P-002-01-01-05-01</t>
  </si>
  <si>
    <t>P-002-01-01-05-02 (VB)</t>
  </si>
  <si>
    <t>V-002-01-01-03-01</t>
  </si>
  <si>
    <t>Atliktų viešojo tualeto remontų skaičius</t>
  </si>
  <si>
    <t>Kultūros projektų rėmimas</t>
  </si>
  <si>
    <t>Savivaldybės teritorijoje esančių  miestų ir miestelių teritorijų ribose valstybinės žemės, perduotos Lietuvos Respublikos Vyriausybės nutarimu, patikėtinio funkcijai atlikti</t>
  </si>
  <si>
    <t>Kompensacijų nepriklausomybės gynėjams, nukentėjusiems nuo 1991 m. sausio 11–13 d. ir po to vykdytos SSRS agresijos, bei jų šeimoms gavėjų skaičius</t>
  </si>
  <si>
    <t>Surengtų konferecijų ar renginių jaunimui ir su jaunimu dirbančioms įstaigoms skaičius</t>
  </si>
  <si>
    <t>P-004-02-01-01-01</t>
  </si>
  <si>
    <t>Savivaldybės kaimo vietovėse kilusių gaisrų, lyginant su praėjusių 5 metų vidurkiu, ne daugiau kaip</t>
  </si>
  <si>
    <t>V-007-01-02-08-03 (VB)</t>
  </si>
  <si>
    <t>Savivaldybės kaimo vietovėse kilusiuose gaisruose žuvusių žmonių skaičius, lyginant su praėjusių 5 metų vidurkiu, ne daugiau kaip, arba 0</t>
  </si>
  <si>
    <t>Tęstinių investicijų ir kitų projektų vykdymas (pereinamojo laikotarpio)</t>
  </si>
  <si>
    <t>T1- redakcija)</t>
  </si>
  <si>
    <t>P-007-01-06-01-02</t>
  </si>
  <si>
    <t>Numatytų kolektyvinės apsaugos statinių aprūpinimas</t>
  </si>
  <si>
    <t>Kultūros centrų lankytojų skaičiaus pokytis (palyginti su praėjusiais metais)</t>
  </si>
  <si>
    <t>Viešojoje bibliotekoje ir filialuose fiziškai apsilankiusių asmenų (lankytojų) skaičius</t>
  </si>
  <si>
    <t xml:space="preserve">Parengtų raštų ir išduotų įvairių pažymų skaičius </t>
  </si>
  <si>
    <t>Įstaigų, kuriuose atnaujinta infrastruktūra, skaičiaus pokytis (palyginti praėjusiais metais)</t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</si>
  <si>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001 UGDYMO KOKYBĖS, SPORTO IR MODERNIOS APLINKOS UŽTIKRINIMO PROGRAMOS</t>
    </r>
    <r>
      <rPr>
        <b/>
        <sz val="10"/>
        <color indexed="8"/>
        <rFont val="Times New Roman"/>
        <family val="1"/>
        <charset val="186"/>
      </rPr>
      <t xml:space="preserve"> UŽDAVINIAI, PRIEMONĖS, ASIGNAVIMAI IR KITOS LĖŠOS, STEBĖSEMOS RODIKLIAI </t>
    </r>
  </si>
  <si>
    <t xml:space="preserve">(2026 m. mėn. d. sprendimo Nr. </t>
  </si>
  <si>
    <t>2026–2028 metų  strateginio veiklos plano</t>
  </si>
  <si>
    <t>2026-ųjų m. asignavimai ir kitos lėšos</t>
  </si>
  <si>
    <t>Planuojami 2027-ųjų m. asignavimai ir kitos lėšos</t>
  </si>
  <si>
    <t>Planuojami 2028-ųjų m. asignavimai ir kitos lėšos</t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</si>
  <si>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 xml:space="preserve">002 EKONOMINĖS IR PROJEKTINĖS VEIKLOS </t>
    </r>
    <r>
      <rPr>
        <b/>
        <sz val="10"/>
        <color indexed="8"/>
        <rFont val="Times New Roman"/>
        <family val="1"/>
        <charset val="186"/>
      </rPr>
      <t>PROGRAMOS UŽDAVINIAI, PRIEMONĖS, ASIGNAVIMAI IR KITOS LĖŠOS,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</si>
  <si>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003 TERITORIJŲ PLANAVIMO PROGRAMOS</t>
    </r>
    <r>
      <rPr>
        <b/>
        <sz val="10"/>
        <color indexed="8"/>
        <rFont val="Times New Roman"/>
        <family val="1"/>
        <charset val="186"/>
      </rPr>
      <t xml:space="preserve"> UŽDAVINIAI, PRIEMONĖS, ASIGNAVIMAI IR KITOS LĖŠOS, STEBĖSENOS RODIKLIAI</t>
    </r>
  </si>
  <si>
    <r>
      <t xml:space="preserve">2026-2028 METŲ </t>
    </r>
    <r>
      <rPr>
        <b/>
        <u/>
        <sz val="10"/>
        <color theme="1"/>
        <rFont val="Times New Roman"/>
        <family val="1"/>
        <charset val="186"/>
      </rPr>
      <t>004 SOCIALIAI SAUGIOS IR SVEIKOS APLINKOS KŪRIMO PROGRAMOS</t>
    </r>
    <r>
      <rPr>
        <b/>
        <sz val="10"/>
        <color theme="1"/>
        <rFont val="Times New Roman"/>
        <family val="1"/>
        <charset val="186"/>
      </rPr>
      <t xml:space="preserve"> UŽDAVINIAI, PRIEMONĖS, ASIGNAVIMAI IR KITOS LĖŠOS,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</si>
  <si>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 xml:space="preserve">005 APLINKOS APSAUGOS </t>
    </r>
    <r>
      <rPr>
        <b/>
        <sz val="10"/>
        <color indexed="8"/>
        <rFont val="Times New Roman"/>
        <family val="1"/>
        <charset val="186"/>
      </rPr>
      <t>PROGRAMOS UŽDAVINIAI, PRIEMONĖS, ASIGNAVIMAI IR KITOS LĖŠOS, STEBĖSENOS RODIKLIAI</t>
    </r>
  </si>
  <si>
    <r>
      <t xml:space="preserve">2026-2028 METŲ </t>
    </r>
    <r>
      <rPr>
        <b/>
        <u/>
        <sz val="10"/>
        <color rgb="FF000000"/>
        <rFont val="Times New Roman"/>
        <family val="1"/>
        <charset val="186"/>
      </rPr>
      <t>006 KULTŪROS IR TURIZMO PROGRAMOS</t>
    </r>
    <r>
      <rPr>
        <b/>
        <sz val="10"/>
        <color indexed="8"/>
        <rFont val="Times New Roman"/>
        <family val="1"/>
        <charset val="186"/>
      </rPr>
      <t xml:space="preserve"> UŽDAVINIAI, PRIEMONĖS, ASIGNAVIMAI IR KITOS LĖŠOS, STEBĖSENOS RODIKLIAI</t>
    </r>
  </si>
  <si>
    <r>
      <t xml:space="preserve">2026-2028 METŲ </t>
    </r>
    <r>
      <rPr>
        <b/>
        <u/>
        <sz val="10"/>
        <color theme="1"/>
        <rFont val="Times New Roman"/>
        <family val="1"/>
        <charset val="186"/>
      </rPr>
      <t>007 SAVIVALDYBĖS VEIKLOS VALDYMO PROGRAMOS</t>
    </r>
    <r>
      <rPr>
        <b/>
        <sz val="10"/>
        <color theme="1"/>
        <rFont val="Times New Roman"/>
        <family val="1"/>
        <charset val="186"/>
      </rPr>
      <t xml:space="preserve"> UŽDAVINIAI, PRIEMONĖS, ASIGNAVIMAI IR KITOS LĖŠOS, STEBĖSENOS RODIKLIAI</t>
    </r>
  </si>
  <si>
    <t>2026-2028 METŲ 008 INFRASTRUKTŪROS OBJEKTŲ PRIEŽIŪROS IR ŪKINIŲ SUBJEKTŲ RĖMIMO PROGRAMOS UŽDAVINIAI, PRIEMONĖS, ASIGNAVIMAI IR KITOS LĖŠOS, STEBĖSENOS RODIKLIAI</t>
  </si>
  <si>
    <t>2025-ųjų m. asignavimai ir kitos lėšos (2025-02-13 datai)</t>
  </si>
  <si>
    <t>V-004-01-02-03-02</t>
  </si>
  <si>
    <t>V-001-01-01-08-01 (VB)</t>
  </si>
  <si>
    <t>V-001-01-01-08-02 (VB)</t>
  </si>
  <si>
    <t>V-001-01-01-08-03 (VB)</t>
  </si>
  <si>
    <t>V-001-01-01-08-04 (VB)</t>
  </si>
  <si>
    <t>V-001-01-01-08-05 (VB)</t>
  </si>
  <si>
    <t>V-001-01-01-08-06</t>
  </si>
  <si>
    <t>V-001-01-01-09-01 (SB/VB)</t>
  </si>
  <si>
    <t>V-001-01-01-09-02</t>
  </si>
  <si>
    <t xml:space="preserve">V-001-01-01-09-03 </t>
  </si>
  <si>
    <t>V-001-01-01-09-04</t>
  </si>
  <si>
    <t>V-001-01-01-09-05</t>
  </si>
  <si>
    <t xml:space="preserve">V-001-01-01-10-02 </t>
  </si>
  <si>
    <t>V-001-01-01-10-03</t>
  </si>
  <si>
    <t>V-001-01-01-10-04</t>
  </si>
  <si>
    <t>V-001-01-01-10-05</t>
  </si>
  <si>
    <t>V-001-01-01-10-06</t>
  </si>
  <si>
    <t xml:space="preserve">V-001-01-01-11-01 </t>
  </si>
  <si>
    <t>V-001-01-01-11-03 (SB/VB)</t>
  </si>
  <si>
    <t>V-001-01-01-12-02 (SB/VB)</t>
  </si>
  <si>
    <t>V-001-01-01-12-03 (SB/VB)</t>
  </si>
  <si>
    <t>V-001-01-01-12-04 (SB/VB)</t>
  </si>
  <si>
    <t>V-001-01-01-13-01 (SB/VB)</t>
  </si>
  <si>
    <t>V-001-01-01-13-02 (SB/VB)</t>
  </si>
  <si>
    <t>V-001-01-01-13-04 (SB/VB)</t>
  </si>
  <si>
    <t>AJC organizuojamo mobiliojo darbo metu pasiektų jaunuolių skaičius</t>
  </si>
  <si>
    <t xml:space="preserve">Nacionalinėse ir tarptautinėse olimpiadose bei konkursuose pelniusių mokinių prizines vietas, skaičius </t>
  </si>
  <si>
    <t>Bendruomeninių ir nevyriausybinių organizacijų tarybų veiklos rėmimas</t>
  </si>
  <si>
    <t>V-002-01-03-04-01</t>
  </si>
  <si>
    <t>Eksploatuojamų vaizdo stebėjimo kamerų skaičius</t>
  </si>
  <si>
    <t>V-004-04-01-01-02</t>
  </si>
  <si>
    <t>Pagalbos į namus paslaugų gavėjų skaičius</t>
  </si>
  <si>
    <t>Socialinės globos paslaugų (asmenų su sunkia negalia) gavėjų skaičius</t>
  </si>
  <si>
    <t>Socialinės reabilitacijos paslaugas gavusių asmenų skaičius</t>
  </si>
  <si>
    <t>V-004-01-01-09-05</t>
  </si>
  <si>
    <t>Kompensacijų gavėjų skaičius</t>
  </si>
  <si>
    <t>V-004-01-01-09-06</t>
  </si>
  <si>
    <t>Socialinių pašalpų gavėjų skaičius</t>
  </si>
  <si>
    <t>V-004-01-01-11-04</t>
  </si>
  <si>
    <t>Asmenų, gavusių soc. pasl. iki 2007 m. gavėjų skaičius</t>
  </si>
  <si>
    <t>Pagalbos planų asmenims su negalia skaičius</t>
  </si>
  <si>
    <t>Finansuotų NVO projektų skaičius</t>
  </si>
  <si>
    <t>V-004-01-01-16-02</t>
  </si>
  <si>
    <t>Transporto paslaugas teikiančių NVO skaičius</t>
  </si>
  <si>
    <t>Socialinės globos paslaugų Dienos centre gavėjų skaičius </t>
  </si>
  <si>
    <t>Palydėjimo paslaugą gavusių jaunuolių skaičius</t>
  </si>
  <si>
    <t>V-004-01-02-01-04 (VB)</t>
  </si>
  <si>
    <t>V-004-01-02-01-05</t>
  </si>
  <si>
    <t>V-004-01-02-01-06</t>
  </si>
  <si>
    <t>Transporto organizavimo paslaugos gavėjų skaičius</t>
  </si>
  <si>
    <t>V-004-01-02-01-07</t>
  </si>
  <si>
    <t>Nemokamo maitinimo paslaugos gavėjų skaičius</t>
  </si>
  <si>
    <t>V-004-01-02-01-08</t>
  </si>
  <si>
    <t>Intensyvios krizių įveikimo pagalbos gavėjų skaičius</t>
  </si>
  <si>
    <t>Kompleksinių paslaugų gavėjų skaičius</t>
  </si>
  <si>
    <t>Priemonėse dalyvaujančių asmenų skaičius seniūnijoje</t>
  </si>
  <si>
    <t>Paslaugas gavusių darbo rinkai besirengiančių asmenų skaičius</t>
  </si>
  <si>
    <t>Lėtinio skausmo gydymo paslaugų augimo skaičius (skaičiuojama už tuos metus, kai įrengiama operacinė ir lyginama su praėjusiais metais)</t>
  </si>
  <si>
    <t>P-004-02-01-01-04</t>
  </si>
  <si>
    <t>Gydytojų rezidentų skaičius</t>
  </si>
  <si>
    <t>V-004-01-01-03-03</t>
  </si>
  <si>
    <t>Socialinės paramos, išmokų ir kompensacijų organizavimas</t>
  </si>
  <si>
    <t>Užtikrinti nepertraukiamą viešojo tualeto ir miesto kamerų veiklą</t>
  </si>
  <si>
    <t>Užtikrinti miesto viešojo tualeto ir kamerų eksploatavimą</t>
  </si>
  <si>
    <t>Išvykų į edukacines veiklas užtikrinimas</t>
  </si>
  <si>
    <t>V-001-02-02-05-01</t>
  </si>
  <si>
    <t>Edukacinių išvykų, į kurias užtikrintas pavežėjimas, skaičius per metus</t>
  </si>
  <si>
    <t>Remti ir skatinti sporto sveikatingumo renginių vykdymą Savivaldybėje</t>
  </si>
  <si>
    <t>V-001-05-01-05-01</t>
  </si>
  <si>
    <t>Sudaryti sąlygas Savivaldybės mokiniams dalyvauti rajoninėse, respublikinėse olimpiadose, tarptautiniuose konkursuose, stovyklose, NVŠ veiklose, vykti į edukacines išvykas</t>
  </si>
  <si>
    <t>P-007-01-06-01-03</t>
  </si>
  <si>
    <t>CMI pavaldžių subjektų, kurių veiksmai ir priemonės numatyti  MP, aprūpinimas</t>
  </si>
  <si>
    <t>Stiprinti pasirengimą vykdyti valstybines mobilizacines užduotis, valdyti krizes ir ekstremaliąsias situacijas bei šalinti jų padarinius</t>
  </si>
  <si>
    <t>Plėtoti nacionalinius grėsmių vertinimo ir išankstinio perspėjimo  pajėgumus, reguliariai organizuoti mokymus ir pratybas, siekiant užtikrinti veiksmingą krizių ir ekstremaliųjų situacijų prevenciją, pasirengimą mobilizacijai, krizių bei ekstremalių situacijų valdymo sistemos veikimą</t>
  </si>
  <si>
    <t>R-007-01-06-01</t>
  </si>
  <si>
    <t xml:space="preserve">V-007-01-02-08-05 </t>
  </si>
  <si>
    <t xml:space="preserve">Įvykių likvidavimas mažinant aplinkos taršą </t>
  </si>
  <si>
    <t>2026 m. vasario 12 d. sprendimu Nr. T1-</t>
  </si>
  <si>
    <t xml:space="preserve">1.5.2-1;  
</t>
  </si>
  <si>
    <t>4.1.3-1; 4.1.4-1.</t>
  </si>
  <si>
    <t>1.1.1-1; 1.1.5-1;1.2.2-1; 1.2.5-1; 1.2.6-1; 1.5-1; 1.5.2-1; 2.1.6-1; 3.1.1-1; 4.1.2-1; 4.1.2-2; 4.3.7-1; 4.4.5-1; 4.4.5-2.</t>
  </si>
  <si>
    <t xml:space="preserve">1.2.5-1; 1.2.5-2; 1.6.3-1; 1.10-1; 1.10.1-1;  1.10.2-1; 2.1.5-1; 3.3.2-1; 4.1.3-1.  </t>
  </si>
  <si>
    <t>4.3.7.</t>
  </si>
  <si>
    <t>4.3.7-1.</t>
  </si>
  <si>
    <t>1.2-1; 1.2-2; 1.2-3; 1.2.2-1; 1.2.6-1; 1.2.7-1; 1.2.7-2.</t>
  </si>
  <si>
    <t>1.3-1; 1.3.1-1; 1.3.1-2; 1.3.1-3.</t>
  </si>
  <si>
    <t>1.4-1; 1.4.1-1; 1.4.1-2.</t>
  </si>
  <si>
    <t>1.1.2-1; 1.1.4-1; 1.1.4-2; 1.5-1; 1.5-2; 1.5.2-1; 1.5-3; 1.5-4.</t>
  </si>
  <si>
    <t>1.5.4-2; 1.6.2-1</t>
  </si>
  <si>
    <t>2.2-1; 2.2.4-1</t>
  </si>
  <si>
    <t>3.1-1.</t>
  </si>
  <si>
    <t>1.1.3-1; 1.1.3-2; 1.1.3-3; 1.2.5-1; 1.2.5-2; 1.5.1-1; 1.5.1-2; 1.5.2-1; 1.5.3-1; 1.5.3-2; 1.5.4-1; 1.6-1; 1.8.1-1; 1.8.2-1; 1.8.3-1; 2.1.4-1; 3.3-1; 3.3.3-1; 4.2.1-1; 4.4.2-1; 4.4.3-1; 4.4.4-1; 4.4.5-1; 4.4.6-1.</t>
  </si>
  <si>
    <t>4.1-1; 4.2-1; 4.2-2; 4.2.2-1; 4.2.3-1; 4.2.5-1; 4.3.2-1; 4.3.5-1; 4.3.6-1; 4.3.6-2; 4.4-1; 4.4.1-1; 4.4.5-1;  4.4.5-2.</t>
  </si>
  <si>
    <t>1.1.-1; 1.1.-2; 1.1-3; 1.1.1-1; 1.1.3-1; 1.1.3-2; 1.1.3-3; 1.1.5-1; 1.2.2-1; 1.2.5-1; 1.2.5-2; 1.2.6-1; 1.5.1-1; 1.5.1-2; 1.5.2-1; 1.5.3-1; 1.5.3-2; 1.5.4-1; 1.6-1; 1.7.3-1; 1.8.1-1;  1.8.2-1; 1.8.3-1; 2.1.4-1; 2.1.6-1; 3.1.1-1;  3.3-1; 3.3-2; 3.3.3-1; 3.3.2-1; 4.1.1-1; 4.1.2-1; 4.1.2-2; 4.1.3-1; 4.1.4-1; 4.2.1-1; 4.3.7-1; 4.4.2-1; 4.2.5-1; 4.2.6-1; 4.4.3-1; 4.4.4-1; 4.4.5-1; 4.4.5-2; 4.4.6-1.</t>
  </si>
  <si>
    <t>2.1-1; 2.1-2; 2.1-3; 2.1.2-1; 2.3-1; 2.3-2; 3.1.2.-1.</t>
  </si>
  <si>
    <t>2.4.4-1</t>
  </si>
  <si>
    <t>1.6.4-1; 1.9-1; 1.9.1-1; 1.9.2-1; 2.1.3-1.</t>
  </si>
  <si>
    <t>1.6.4-1; 1.9-1; 1.9.1-1; 1.9.2-1.</t>
  </si>
  <si>
    <t>1.8-1; 1.8-2; 1.8.4-1; 3.1-2.</t>
  </si>
  <si>
    <t>1.2.3-1; 1.2.7-1; 1.2.7-2; 2.1.1-1; 2.1.1-2; 2.2.1-1;  2.2.2-1; 2.2.3-1.</t>
  </si>
  <si>
    <t>1.2.4-1; 1.2.4-2; 1.2.5-1; 1.2.5-2; 1.6.1-1; 1.7.1-1; 1.7.2-1; 1.7.3-1; 1.8.4-1; 1.9.1-1; 2.1.7-1; 2.1.7-2; 3.1.3-1; 3.2-1; 3.2.1-1; 3.2.3-1.</t>
  </si>
  <si>
    <t>1.7-1; 1.7-2; 1.7.4-1.</t>
  </si>
  <si>
    <t>V-004-01-01-09-07</t>
  </si>
  <si>
    <t>Kredito gavėju skaičius</t>
  </si>
  <si>
    <t>3 </t>
  </si>
  <si>
    <t> 9,6</t>
  </si>
  <si>
    <t>2 </t>
  </si>
  <si>
    <t>Sporto krepšelio įgyvendinimas</t>
  </si>
  <si>
    <t>Mokinių, gavusių sporto krepšelį, skaičius per metus</t>
  </si>
  <si>
    <t>Integruotų topografinių-geodezinių planų portale TIIS skaičiaus pokytis (palyginti su praėjusiais m.)</t>
  </si>
  <si>
    <t>Valstybinės žemės sklypų suformuotų pardavimo ir nuomos aukcionams bendro ploto pokytis (palyginti su praėjusiais m.)</t>
  </si>
  <si>
    <t>Parengtų projektų skaičiaus pokytis (palyginti su praėjusiais m.)</t>
  </si>
  <si>
    <t>Parengtų teritorijų planavimo dokumentų ir žemės sklypų formavimo projektų skaičius</t>
  </si>
  <si>
    <t xml:space="preserve">Integruota topografinių-geodezinių planų portale TIIS skaičius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</si>
</sst>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10409]#0.000"/>
    <numFmt numFmtId="165" formatCode="[$-10409]#0.00"/>
    <numFmt numFmtId="166" formatCode="0.000"/>
    <numFmt numFmtId="167" formatCode="0.0%"/>
    <numFmt numFmtId="168" formatCode="[$-10409]#0"/>
    <numFmt numFmtId="169" formatCode="0.0"/>
  </numFmts>
  <fonts count="28" x14ac:knownFonts="1">
    <font>
      <sz val="10"/>
      <name val="Arial"/>
    </font>
    <font>
      <sz val="10"/>
      <name val="Times New Roman"/>
      <family val="1"/>
      <charset val="186"/>
    </font>
    <font>
      <sz val="10"/>
      <name val="Arial"/>
      <family val="2"/>
      <charset val="186"/>
    </font>
    <font>
      <sz val="10"/>
      <color indexed="8"/>
      <name val="Times New Roman"/>
      <family val="1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i/>
      <sz val="1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b/>
      <sz val="10"/>
      <color theme="2" tint="-0.499984740745262"/>
      <name val="Times New Roman"/>
      <family val="1"/>
      <charset val="186"/>
    </font>
    <font>
      <i/>
      <sz val="10"/>
      <color indexed="8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theme="2" tint="-0.499984740745262"/>
      <name val="Times New Roman"/>
      <family val="1"/>
      <charset val="186"/>
    </font>
    <font>
      <b/>
      <i/>
      <sz val="10"/>
      <color indexed="8"/>
      <name val="Times New Roman"/>
      <family val="1"/>
      <charset val="186"/>
    </font>
    <font>
      <b/>
      <sz val="10"/>
      <color theme="1" tint="0.499984740745262"/>
      <name val="Times New Roman"/>
      <family val="1"/>
      <charset val="186"/>
    </font>
    <font>
      <b/>
      <i/>
      <sz val="1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u/>
      <sz val="10"/>
      <color rgb="FF000000"/>
      <name val="Times New Roman"/>
      <family val="1"/>
      <charset val="186"/>
    </font>
    <font>
      <sz val="10"/>
      <name val="Arial"/>
      <family val="2"/>
    </font>
    <font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0"/>
      <color theme="1"/>
      <name val="Times New Roman"/>
      <family val="1"/>
      <charset val="186"/>
    </font>
    <font>
      <b/>
      <u/>
      <sz val="10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1"/>
      <name val="Calibri"/>
      <family val="2"/>
      <charset val="186"/>
    </font>
  </fonts>
  <fills count="17">
    <fill>
      <patternFill patternType="none"/>
    </fill>
    <fill>
      <patternFill patternType="gray125"/>
    </fill>
    <fill>
      <patternFill patternType="solid">
        <fgColor rgb="FFCCFFCC"/>
        <bgColor indexed="0"/>
      </patternFill>
    </fill>
    <fill>
      <patternFill patternType="solid">
        <fgColor rgb="FFCCFFCC"/>
        <bgColor indexed="64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6">
    <xf numFmtId="0" fontId="0" fillId="0" borderId="0"/>
    <xf numFmtId="0" fontId="2" fillId="0" borderId="0"/>
    <xf numFmtId="9" fontId="5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1" fillId="0" borderId="0"/>
  </cellStyleXfs>
  <cellXfs count="593">
    <xf numFmtId="0" fontId="0" fillId="0" borderId="0" xfId="0"/>
    <xf numFmtId="0" fontId="1" fillId="0" borderId="0" xfId="0" applyFont="1"/>
    <xf numFmtId="0" fontId="7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9" fillId="0" borderId="0" xfId="0" applyFont="1" applyAlignment="1">
      <alignment vertical="center"/>
    </xf>
    <xf numFmtId="0" fontId="3" fillId="7" borderId="1" xfId="0" applyFont="1" applyFill="1" applyBorder="1" applyAlignment="1" applyProtection="1">
      <alignment horizontal="left" vertical="center" wrapText="1" readingOrder="1"/>
      <protection locked="0"/>
    </xf>
    <xf numFmtId="0" fontId="17" fillId="6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0" xfId="3" applyFont="1"/>
    <xf numFmtId="0" fontId="9" fillId="0" borderId="0" xfId="3" applyFont="1"/>
    <xf numFmtId="0" fontId="1" fillId="0" borderId="0" xfId="3" applyFont="1" applyAlignment="1">
      <alignment horizontal="center"/>
    </xf>
    <xf numFmtId="166" fontId="14" fillId="0" borderId="0" xfId="3" applyNumberFormat="1" applyFont="1" applyAlignment="1">
      <alignment horizontal="center"/>
    </xf>
    <xf numFmtId="166" fontId="19" fillId="0" borderId="0" xfId="3" applyNumberFormat="1" applyFont="1" applyAlignment="1">
      <alignment horizontal="center"/>
    </xf>
    <xf numFmtId="0" fontId="14" fillId="0" borderId="0" xfId="3" applyFont="1" applyAlignment="1">
      <alignment horizontal="center"/>
    </xf>
    <xf numFmtId="0" fontId="9" fillId="0" borderId="0" xfId="3" applyFont="1" applyAlignment="1">
      <alignment horizontal="center"/>
    </xf>
    <xf numFmtId="164" fontId="13" fillId="0" borderId="1" xfId="3" applyNumberFormat="1" applyFont="1" applyBorder="1" applyAlignment="1" applyProtection="1">
      <alignment horizontal="center" vertical="center" wrapText="1" readingOrder="1"/>
      <protection locked="0"/>
    </xf>
    <xf numFmtId="166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3" applyFont="1"/>
    <xf numFmtId="0" fontId="6" fillId="0" borderId="0" xfId="3" applyFont="1" applyAlignment="1">
      <alignment horizontal="left"/>
    </xf>
    <xf numFmtId="166" fontId="11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9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1" fillId="6" borderId="1" xfId="3" applyFont="1" applyFill="1" applyBorder="1" applyAlignment="1" applyProtection="1">
      <alignment vertical="center" wrapText="1" readingOrder="1"/>
      <protection locked="0"/>
    </xf>
    <xf numFmtId="9" fontId="12" fillId="0" borderId="1" xfId="4" applyFont="1" applyFill="1" applyBorder="1" applyAlignment="1" applyProtection="1">
      <alignment horizontal="center" vertical="center" wrapText="1" readingOrder="1"/>
      <protection locked="0"/>
    </xf>
    <xf numFmtId="165" fontId="3" fillId="9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" fillId="9" borderId="1" xfId="3" applyFont="1" applyFill="1" applyBorder="1" applyAlignment="1">
      <alignment wrapText="1"/>
    </xf>
    <xf numFmtId="0" fontId="8" fillId="9" borderId="1" xfId="3" applyFont="1" applyFill="1" applyBorder="1" applyAlignment="1">
      <alignment horizontal="left" vertical="center" wrapText="1"/>
    </xf>
    <xf numFmtId="166" fontId="14" fillId="0" borderId="1" xfId="3" applyNumberFormat="1" applyFont="1" applyBorder="1" applyAlignment="1" applyProtection="1">
      <alignment horizontal="center" vertical="center" wrapText="1" readingOrder="1"/>
      <protection locked="0"/>
    </xf>
    <xf numFmtId="166" fontId="19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1" fillId="0" borderId="1" xfId="3" applyFont="1" applyBorder="1" applyAlignment="1" applyProtection="1">
      <alignment vertical="center" wrapText="1" readingOrder="1"/>
      <protection locked="0"/>
    </xf>
    <xf numFmtId="166" fontId="1" fillId="8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9" fillId="8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3" applyFont="1" applyBorder="1" applyAlignment="1" applyProtection="1">
      <alignment horizontal="left" vertical="center" wrapText="1" readingOrder="1"/>
      <protection locked="0"/>
    </xf>
    <xf numFmtId="0" fontId="1" fillId="0" borderId="1" xfId="3" applyFont="1" applyBorder="1" applyAlignment="1">
      <alignment horizontal="left" vertical="center" wrapText="1"/>
    </xf>
    <xf numFmtId="0" fontId="1" fillId="3" borderId="1" xfId="3" applyFont="1" applyFill="1" applyBorder="1" applyAlignment="1">
      <alignment horizontal="left" vertical="center" wrapText="1"/>
    </xf>
    <xf numFmtId="166" fontId="14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9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1" fillId="5" borderId="1" xfId="3" applyFont="1" applyFill="1" applyBorder="1" applyAlignment="1" applyProtection="1">
      <alignment vertical="center" wrapText="1" readingOrder="1"/>
      <protection locked="0"/>
    </xf>
    <xf numFmtId="0" fontId="3" fillId="5" borderId="1" xfId="3" applyFont="1" applyFill="1" applyBorder="1" applyAlignment="1" applyProtection="1">
      <alignment horizontal="center" vertical="center" wrapText="1" readingOrder="1"/>
      <protection locked="0"/>
    </xf>
    <xf numFmtId="166" fontId="14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9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1" fillId="2" borderId="1" xfId="3" applyFont="1" applyFill="1" applyBorder="1" applyAlignment="1" applyProtection="1">
      <alignment vertical="center" wrapText="1" readingOrder="1"/>
      <protection locked="0"/>
    </xf>
    <xf numFmtId="9" fontId="12" fillId="10" borderId="1" xfId="4" applyFont="1" applyFill="1" applyBorder="1" applyAlignment="1" applyProtection="1">
      <alignment horizontal="center" vertical="center" wrapText="1" readingOrder="1"/>
      <protection locked="0"/>
    </xf>
    <xf numFmtId="0" fontId="1" fillId="9" borderId="1" xfId="3" applyFont="1" applyFill="1" applyBorder="1" applyAlignment="1">
      <alignment horizontal="left" vertical="center" wrapText="1"/>
    </xf>
    <xf numFmtId="0" fontId="8" fillId="9" borderId="1" xfId="3" applyFont="1" applyFill="1" applyBorder="1" applyAlignment="1">
      <alignment wrapText="1"/>
    </xf>
    <xf numFmtId="166" fontId="9" fillId="1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" fillId="4" borderId="1" xfId="3" applyFont="1" applyFill="1" applyBorder="1" applyAlignment="1" applyProtection="1">
      <alignment horizontal="center" vertical="center" wrapText="1" readingOrder="1"/>
      <protection locked="0"/>
    </xf>
    <xf numFmtId="0" fontId="3" fillId="6" borderId="1" xfId="3" applyFont="1" applyFill="1" applyBorder="1" applyAlignment="1" applyProtection="1">
      <alignment horizontal="center" vertical="center" wrapText="1" readingOrder="1"/>
      <protection locked="0"/>
    </xf>
    <xf numFmtId="0" fontId="9" fillId="6" borderId="1" xfId="3" applyFont="1" applyFill="1" applyBorder="1" applyAlignment="1" applyProtection="1">
      <alignment horizontal="center" vertical="center" wrapText="1" readingOrder="1"/>
      <protection locked="0"/>
    </xf>
    <xf numFmtId="0" fontId="9" fillId="0" borderId="0" xfId="3" applyFont="1" applyAlignment="1">
      <alignment horizontal="left" vertical="center"/>
    </xf>
    <xf numFmtId="0" fontId="9" fillId="0" borderId="0" xfId="3" applyFont="1" applyAlignment="1">
      <alignment vertical="center"/>
    </xf>
    <xf numFmtId="164" fontId="11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19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0" xfId="3" applyFont="1"/>
    <xf numFmtId="166" fontId="1" fillId="0" borderId="0" xfId="3" applyNumberFormat="1" applyFont="1" applyAlignment="1">
      <alignment horizontal="center"/>
    </xf>
    <xf numFmtId="166" fontId="9" fillId="0" borderId="0" xfId="3" applyNumberFormat="1" applyFont="1" applyAlignment="1">
      <alignment horizontal="center"/>
    </xf>
    <xf numFmtId="164" fontId="10" fillId="0" borderId="1" xfId="3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1" fillId="0" borderId="0" xfId="3" applyFont="1" applyAlignment="1">
      <alignment horizontal="center" vertical="center"/>
    </xf>
    <xf numFmtId="0" fontId="11" fillId="5" borderId="1" xfId="3" applyFont="1" applyFill="1" applyBorder="1" applyAlignment="1" applyProtection="1">
      <alignment horizontal="center" vertical="center" wrapText="1" readingOrder="1"/>
      <protection locked="0"/>
    </xf>
    <xf numFmtId="0" fontId="1" fillId="0" borderId="1" xfId="3" applyFont="1" applyBorder="1" applyAlignment="1" applyProtection="1">
      <alignment horizontal="left" vertical="center" wrapText="1" readingOrder="1"/>
      <protection locked="0"/>
    </xf>
    <xf numFmtId="9" fontId="15" fillId="9" borderId="1" xfId="4" applyFont="1" applyFill="1" applyBorder="1" applyAlignment="1" applyProtection="1">
      <alignment horizontal="center" vertical="center" wrapText="1" readingOrder="1"/>
      <protection locked="0"/>
    </xf>
    <xf numFmtId="0" fontId="11" fillId="0" borderId="1" xfId="3" applyFont="1" applyBorder="1" applyAlignment="1" applyProtection="1">
      <alignment horizontal="center" vertical="center" wrapText="1" readingOrder="1"/>
      <protection locked="0"/>
    </xf>
    <xf numFmtId="0" fontId="12" fillId="0" borderId="0" xfId="3" applyFont="1" applyAlignment="1" applyProtection="1">
      <alignment horizontal="center" vertical="center" wrapText="1" readingOrder="1"/>
      <protection locked="0"/>
    </xf>
    <xf numFmtId="0" fontId="11" fillId="0" borderId="3" xfId="3" applyFont="1" applyBorder="1" applyAlignment="1" applyProtection="1">
      <alignment vertical="center" wrapText="1" readingOrder="1"/>
      <protection locked="0"/>
    </xf>
    <xf numFmtId="0" fontId="3" fillId="0" borderId="3" xfId="3" applyFont="1" applyBorder="1" applyAlignment="1" applyProtection="1">
      <alignment horizontal="right" vertical="center" wrapText="1" readingOrder="1"/>
      <protection locked="0"/>
    </xf>
    <xf numFmtId="0" fontId="1" fillId="0" borderId="1" xfId="0" applyFont="1" applyBorder="1" applyAlignment="1" applyProtection="1">
      <alignment horizontal="left" vertical="center" wrapText="1" readingOrder="1"/>
      <protection locked="0"/>
    </xf>
    <xf numFmtId="0" fontId="3" fillId="6" borderId="1" xfId="3" applyFont="1" applyFill="1" applyBorder="1" applyAlignment="1" applyProtection="1">
      <alignment horizontal="center" vertical="center" textRotation="90" wrapText="1" readingOrder="1"/>
      <protection locked="0"/>
    </xf>
    <xf numFmtId="0" fontId="1" fillId="0" borderId="1" xfId="0" applyFont="1" applyBorder="1" applyAlignment="1">
      <alignment horizontal="left" vertical="center" wrapText="1"/>
    </xf>
    <xf numFmtId="0" fontId="1" fillId="0" borderId="0" xfId="3" applyFont="1" applyAlignment="1">
      <alignment wrapText="1"/>
    </xf>
    <xf numFmtId="0" fontId="3" fillId="7" borderId="1" xfId="3" applyFont="1" applyFill="1" applyBorder="1" applyAlignment="1" applyProtection="1">
      <alignment horizontal="left" vertical="center" wrapText="1" readingOrder="1"/>
      <protection locked="0"/>
    </xf>
    <xf numFmtId="0" fontId="3" fillId="7" borderId="1" xfId="3" applyFont="1" applyFill="1" applyBorder="1" applyAlignment="1" applyProtection="1">
      <alignment horizontal="center" vertical="center" wrapText="1" readingOrder="1"/>
      <protection locked="0"/>
    </xf>
    <xf numFmtId="0" fontId="11" fillId="7" borderId="1" xfId="3" applyFont="1" applyFill="1" applyBorder="1" applyAlignment="1" applyProtection="1">
      <alignment horizontal="center" vertical="center" wrapText="1" readingOrder="1"/>
      <protection locked="0"/>
    </xf>
    <xf numFmtId="0" fontId="11" fillId="2" borderId="1" xfId="3" applyFont="1" applyFill="1" applyBorder="1" applyAlignment="1" applyProtection="1">
      <alignment horizontal="center" vertical="center" wrapText="1" readingOrder="1"/>
      <protection locked="0"/>
    </xf>
    <xf numFmtId="0" fontId="14" fillId="4" borderId="1" xfId="3" applyFont="1" applyFill="1" applyBorder="1" applyAlignment="1" applyProtection="1">
      <alignment horizontal="center" vertical="center" wrapText="1" readingOrder="1"/>
      <protection locked="0"/>
    </xf>
    <xf numFmtId="0" fontId="3" fillId="0" borderId="0" xfId="3" applyFont="1" applyAlignment="1" applyProtection="1">
      <alignment horizontal="right" vertical="center" wrapText="1" readingOrder="1"/>
      <protection locked="0"/>
    </xf>
    <xf numFmtId="0" fontId="9" fillId="3" borderId="1" xfId="3" applyFont="1" applyFill="1" applyBorder="1" applyAlignment="1" applyProtection="1">
      <alignment horizontal="center" vertical="center" wrapText="1" readingOrder="1"/>
      <protection locked="0"/>
    </xf>
    <xf numFmtId="0" fontId="15" fillId="11" borderId="0" xfId="3" applyFont="1" applyFill="1"/>
    <xf numFmtId="0" fontId="9" fillId="0" borderId="0" xfId="3" applyFont="1" applyAlignment="1">
      <alignment horizontal="center" vertical="center"/>
    </xf>
    <xf numFmtId="0" fontId="9" fillId="0" borderId="0" xfId="3" applyFont="1" applyAlignment="1">
      <alignment horizontal="left" vertical="top"/>
    </xf>
    <xf numFmtId="0" fontId="1" fillId="0" borderId="0" xfId="3" applyFont="1" applyAlignment="1">
      <alignment horizontal="left" vertical="top"/>
    </xf>
    <xf numFmtId="0" fontId="14" fillId="0" borderId="1" xfId="3" applyFont="1" applyBorder="1" applyAlignment="1" applyProtection="1">
      <alignment vertical="center" wrapText="1" readingOrder="1"/>
      <protection locked="0"/>
    </xf>
    <xf numFmtId="166" fontId="11" fillId="11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>
      <alignment horizontal="left" vertical="center" wrapText="1"/>
    </xf>
    <xf numFmtId="0" fontId="9" fillId="0" borderId="1" xfId="3" applyFont="1" applyBorder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center"/>
    </xf>
    <xf numFmtId="0" fontId="15" fillId="0" borderId="0" xfId="0" applyFont="1"/>
    <xf numFmtId="0" fontId="3" fillId="0" borderId="0" xfId="0" applyFont="1" applyAlignment="1" applyProtection="1">
      <alignment horizontal="right" vertical="center" wrapText="1" readingOrder="1"/>
      <protection locked="0"/>
    </xf>
    <xf numFmtId="0" fontId="12" fillId="0" borderId="0" xfId="0" applyFont="1" applyAlignment="1" applyProtection="1">
      <alignment horizontal="center" vertical="center" wrapText="1" readingOrder="1"/>
      <protection locked="0"/>
    </xf>
    <xf numFmtId="0" fontId="1" fillId="4" borderId="1" xfId="0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>
      <alignment horizontal="left" vertical="center" wrapText="1"/>
    </xf>
    <xf numFmtId="0" fontId="3" fillId="0" borderId="1" xfId="0" applyFont="1" applyBorder="1" applyAlignment="1" applyProtection="1">
      <alignment horizontal="left" vertical="center" wrapText="1" readingOrder="1"/>
      <protection locked="0"/>
    </xf>
    <xf numFmtId="166" fontId="9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9" borderId="1" xfId="0" applyFont="1" applyFill="1" applyBorder="1" applyAlignment="1">
      <alignment wrapText="1"/>
    </xf>
    <xf numFmtId="0" fontId="1" fillId="9" borderId="1" xfId="0" applyFont="1" applyFill="1" applyBorder="1" applyAlignment="1">
      <alignment wrapText="1"/>
    </xf>
    <xf numFmtId="165" fontId="9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166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4" fillId="0" borderId="1" xfId="0" applyNumberFormat="1" applyFont="1" applyBorder="1" applyAlignment="1" applyProtection="1">
      <alignment horizontal="center" vertical="center" wrapText="1" readingOrder="1"/>
      <protection locked="0"/>
    </xf>
    <xf numFmtId="9" fontId="12" fillId="10" borderId="1" xfId="2" applyFont="1" applyFill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left" vertical="center" wrapText="1" readingOrder="1"/>
      <protection locked="0"/>
    </xf>
    <xf numFmtId="0" fontId="11" fillId="0" borderId="1" xfId="0" applyFont="1" applyBorder="1" applyAlignment="1" applyProtection="1">
      <alignment vertical="center" wrapText="1" readingOrder="1"/>
      <protection locked="0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11" fillId="2" borderId="1" xfId="0" applyFont="1" applyFill="1" applyBorder="1" applyAlignment="1" applyProtection="1">
      <alignment vertical="center" wrapText="1" readingOrder="1"/>
      <protection locked="0"/>
    </xf>
    <xf numFmtId="166" fontId="14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3" borderId="1" xfId="0" applyFont="1" applyFill="1" applyBorder="1" applyAlignment="1" applyProtection="1">
      <alignment horizontal="center" vertical="center" wrapText="1" readingOrder="1"/>
      <protection locked="0"/>
    </xf>
    <xf numFmtId="0" fontId="3" fillId="5" borderId="1" xfId="0" applyFont="1" applyFill="1" applyBorder="1" applyAlignment="1" applyProtection="1">
      <alignment horizontal="center" vertical="center" wrapText="1" readingOrder="1"/>
      <protection locked="0"/>
    </xf>
    <xf numFmtId="0" fontId="11" fillId="5" borderId="1" xfId="0" applyFont="1" applyFill="1" applyBorder="1" applyAlignment="1" applyProtection="1">
      <alignment vertical="center" wrapText="1" readingOrder="1"/>
      <protection locked="0"/>
    </xf>
    <xf numFmtId="166" fontId="14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5" borderId="1" xfId="0" applyFont="1" applyFill="1" applyBorder="1" applyAlignment="1" applyProtection="1">
      <alignment horizontal="center" vertical="center" wrapText="1" readingOrder="1"/>
      <protection locked="0"/>
    </xf>
    <xf numFmtId="0" fontId="6" fillId="9" borderId="1" xfId="0" applyFont="1" applyFill="1" applyBorder="1" applyAlignment="1">
      <alignment wrapText="1"/>
    </xf>
    <xf numFmtId="0" fontId="7" fillId="9" borderId="1" xfId="0" applyFont="1" applyFill="1" applyBorder="1" applyAlignment="1">
      <alignment wrapText="1"/>
    </xf>
    <xf numFmtId="0" fontId="11" fillId="2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wrapText="1"/>
    </xf>
    <xf numFmtId="0" fontId="11" fillId="0" borderId="1" xfId="0" applyFont="1" applyBorder="1" applyAlignment="1" applyProtection="1">
      <alignment horizontal="right" vertical="center" wrapText="1" readingOrder="1"/>
      <protection locked="0"/>
    </xf>
    <xf numFmtId="0" fontId="8" fillId="9" borderId="1" xfId="0" applyFont="1" applyFill="1" applyBorder="1" applyAlignment="1">
      <alignment horizontal="left" vertical="center" wrapText="1"/>
    </xf>
    <xf numFmtId="0" fontId="1" fillId="9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 applyProtection="1">
      <alignment horizontal="center" vertical="center" wrapText="1" readingOrder="1"/>
      <protection locked="0"/>
    </xf>
    <xf numFmtId="0" fontId="11" fillId="6" borderId="1" xfId="0" applyFont="1" applyFill="1" applyBorder="1" applyAlignment="1" applyProtection="1">
      <alignment vertical="center" wrapText="1" readingOrder="1"/>
      <protection locked="0"/>
    </xf>
    <xf numFmtId="166" fontId="1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1" fillId="7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left"/>
    </xf>
    <xf numFmtId="164" fontId="11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164" fontId="1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4" fillId="0" borderId="0" xfId="0" applyFont="1" applyAlignment="1">
      <alignment horizontal="center"/>
    </xf>
    <xf numFmtId="166" fontId="14" fillId="0" borderId="0" xfId="0" applyNumberFormat="1" applyFont="1" applyAlignment="1">
      <alignment horizontal="center"/>
    </xf>
    <xf numFmtId="166" fontId="1" fillId="0" borderId="0" xfId="0" applyNumberFormat="1" applyFont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 applyProtection="1">
      <alignment horizontal="left" vertical="center" wrapText="1" readingOrder="1"/>
      <protection locked="0"/>
    </xf>
    <xf numFmtId="0" fontId="7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11" fillId="6" borderId="1" xfId="3" applyFont="1" applyFill="1" applyBorder="1" applyAlignment="1" applyProtection="1">
      <alignment horizontal="center" vertical="center" wrapText="1" readingOrder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3" applyFont="1" applyBorder="1" applyAlignment="1" applyProtection="1">
      <alignment horizontal="center" vertical="center" wrapText="1" readingOrder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3" fillId="0" borderId="1" xfId="3" applyFont="1" applyBorder="1" applyAlignment="1" applyProtection="1">
      <alignment horizontal="center" vertical="center" wrapText="1" readingOrder="1"/>
      <protection locked="0"/>
    </xf>
    <xf numFmtId="0" fontId="3" fillId="2" borderId="1" xfId="3" applyFont="1" applyFill="1" applyBorder="1" applyAlignment="1" applyProtection="1">
      <alignment horizontal="center" vertical="center" wrapText="1" readingOrder="1"/>
      <protection locked="0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 applyProtection="1">
      <alignment horizontal="center" vertical="center" wrapText="1" readingOrder="1"/>
      <protection locked="0"/>
    </xf>
    <xf numFmtId="0" fontId="3" fillId="3" borderId="1" xfId="3" applyFont="1" applyFill="1" applyBorder="1" applyAlignment="1" applyProtection="1">
      <alignment horizontal="center" vertical="center" wrapText="1" readingOrder="1"/>
      <protection locked="0"/>
    </xf>
    <xf numFmtId="0" fontId="1" fillId="3" borderId="1" xfId="3" applyFont="1" applyFill="1" applyBorder="1" applyAlignment="1">
      <alignment horizontal="center" vertical="center" wrapText="1"/>
    </xf>
    <xf numFmtId="49" fontId="3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49" fontId="11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4" fillId="3" borderId="1" xfId="3" applyFont="1" applyFill="1" applyBorder="1" applyAlignment="1" applyProtection="1">
      <alignment horizontal="center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center" wrapText="1" readingOrder="1"/>
      <protection locked="0"/>
    </xf>
    <xf numFmtId="166" fontId="9" fillId="0" borderId="0" xfId="0" applyNumberFormat="1" applyFont="1" applyAlignment="1">
      <alignment horizontal="center"/>
    </xf>
    <xf numFmtId="166" fontId="1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164" fontId="10" fillId="0" borderId="1" xfId="0" applyNumberFormat="1" applyFont="1" applyBorder="1" applyAlignment="1" applyProtection="1">
      <alignment horizontal="center" vertical="center" wrapText="1" readingOrder="1"/>
      <protection locked="0"/>
    </xf>
    <xf numFmtId="166" fontId="19" fillId="0" borderId="1" xfId="0" applyNumberFormat="1" applyFont="1" applyBorder="1" applyAlignment="1" applyProtection="1">
      <alignment horizontal="center" vertical="center" wrapText="1" readingOrder="1"/>
      <protection locked="0"/>
    </xf>
    <xf numFmtId="164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0" applyFont="1" applyBorder="1" applyAlignment="1" applyProtection="1">
      <alignment horizontal="center" vertical="center" wrapText="1" readingOrder="1"/>
      <protection locked="0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1" fillId="6" borderId="1" xfId="0" applyFont="1" applyFill="1" applyBorder="1" applyAlignment="1" applyProtection="1">
      <alignment horizontal="center" vertical="center" wrapText="1" readingOrder="1"/>
      <protection locked="0"/>
    </xf>
    <xf numFmtId="0" fontId="14" fillId="7" borderId="1" xfId="0" applyFont="1" applyFill="1" applyBorder="1" applyAlignment="1">
      <alignment horizontal="center" vertical="center" wrapText="1"/>
    </xf>
    <xf numFmtId="165" fontId="1" fillId="9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9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9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166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8" fillId="9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164" fontId="19" fillId="6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9" fontId="15" fillId="9" borderId="1" xfId="4" applyFont="1" applyFill="1" applyBorder="1" applyAlignment="1">
      <alignment wrapText="1" readingOrder="1"/>
    </xf>
    <xf numFmtId="0" fontId="1" fillId="0" borderId="0" xfId="3" applyFont="1" applyAlignment="1">
      <alignment wrapText="1" readingOrder="1"/>
    </xf>
    <xf numFmtId="0" fontId="1" fillId="3" borderId="1" xfId="3" applyFont="1" applyFill="1" applyBorder="1" applyAlignment="1">
      <alignment horizontal="left" vertical="center" wrapText="1" readingOrder="1"/>
    </xf>
    <xf numFmtId="0" fontId="1" fillId="3" borderId="1" xfId="3" applyFont="1" applyFill="1" applyBorder="1" applyAlignment="1">
      <alignment horizontal="center" vertical="center" wrapText="1" readingOrder="1"/>
    </xf>
    <xf numFmtId="0" fontId="7" fillId="0" borderId="0" xfId="3" applyFont="1" applyAlignment="1">
      <alignment wrapText="1" readingOrder="1"/>
    </xf>
    <xf numFmtId="0" fontId="1" fillId="0" borderId="1" xfId="3" applyFont="1" applyBorder="1" applyAlignment="1">
      <alignment horizontal="left" vertical="center" wrapText="1" readingOrder="1"/>
    </xf>
    <xf numFmtId="0" fontId="1" fillId="0" borderId="1" xfId="3" applyFont="1" applyBorder="1" applyAlignment="1">
      <alignment horizontal="center" wrapText="1" readingOrder="1"/>
    </xf>
    <xf numFmtId="0" fontId="8" fillId="9" borderId="1" xfId="3" applyFont="1" applyFill="1" applyBorder="1" applyAlignment="1">
      <alignment horizontal="left" wrapText="1" readingOrder="1"/>
    </xf>
    <xf numFmtId="0" fontId="1" fillId="9" borderId="1" xfId="3" applyFont="1" applyFill="1" applyBorder="1" applyAlignment="1">
      <alignment horizontal="left" wrapText="1" readingOrder="1"/>
    </xf>
    <xf numFmtId="0" fontId="1" fillId="9" borderId="1" xfId="3" applyFont="1" applyFill="1" applyBorder="1" applyAlignment="1">
      <alignment horizontal="center" wrapText="1" readingOrder="1"/>
    </xf>
    <xf numFmtId="0" fontId="1" fillId="9" borderId="1" xfId="3" applyFont="1" applyFill="1" applyBorder="1" applyAlignment="1">
      <alignment horizontal="center" vertical="center" wrapText="1" readingOrder="1"/>
    </xf>
    <xf numFmtId="0" fontId="1" fillId="0" borderId="1" xfId="3" applyFont="1" applyBorder="1" applyAlignment="1">
      <alignment horizontal="center" vertical="center" wrapText="1" readingOrder="1"/>
    </xf>
    <xf numFmtId="0" fontId="1" fillId="9" borderId="1" xfId="3" applyFont="1" applyFill="1" applyBorder="1" applyAlignment="1">
      <alignment wrapText="1" readingOrder="1"/>
    </xf>
    <xf numFmtId="0" fontId="8" fillId="9" borderId="1" xfId="3" applyFont="1" applyFill="1" applyBorder="1" applyAlignment="1">
      <alignment wrapText="1" readingOrder="1"/>
    </xf>
    <xf numFmtId="0" fontId="8" fillId="9" borderId="1" xfId="3" applyFont="1" applyFill="1" applyBorder="1" applyAlignment="1">
      <alignment horizontal="left" vertical="center" wrapText="1" readingOrder="1"/>
    </xf>
    <xf numFmtId="0" fontId="1" fillId="9" borderId="1" xfId="3" applyFont="1" applyFill="1" applyBorder="1" applyAlignment="1">
      <alignment horizontal="left" vertical="center" wrapText="1" readingOrder="1"/>
    </xf>
    <xf numFmtId="0" fontId="1" fillId="3" borderId="1" xfId="3" applyFont="1" applyFill="1" applyBorder="1" applyAlignment="1">
      <alignment horizontal="center" wrapText="1" readingOrder="1"/>
    </xf>
    <xf numFmtId="49" fontId="1" fillId="5" borderId="1" xfId="3" applyNumberFormat="1" applyFont="1" applyFill="1" applyBorder="1" applyAlignment="1">
      <alignment horizontal="center" vertical="center" wrapText="1" readingOrder="1"/>
    </xf>
    <xf numFmtId="0" fontId="1" fillId="5" borderId="1" xfId="3" applyFont="1" applyFill="1" applyBorder="1" applyAlignment="1">
      <alignment horizontal="center" vertical="center" wrapText="1" readingOrder="1"/>
    </xf>
    <xf numFmtId="0" fontId="14" fillId="3" borderId="1" xfId="3" applyFont="1" applyFill="1" applyBorder="1" applyAlignment="1">
      <alignment wrapText="1" readingOrder="1"/>
    </xf>
    <xf numFmtId="166" fontId="1" fillId="3" borderId="1" xfId="3" applyNumberFormat="1" applyFont="1" applyFill="1" applyBorder="1" applyAlignment="1">
      <alignment horizontal="center" wrapText="1" readingOrder="1"/>
    </xf>
    <xf numFmtId="0" fontId="1" fillId="5" borderId="1" xfId="3" applyFont="1" applyFill="1" applyBorder="1" applyAlignment="1">
      <alignment horizontal="center" wrapText="1" readingOrder="1"/>
    </xf>
    <xf numFmtId="0" fontId="14" fillId="5" borderId="1" xfId="3" applyFont="1" applyFill="1" applyBorder="1" applyAlignment="1">
      <alignment wrapText="1" readingOrder="1"/>
    </xf>
    <xf numFmtId="166" fontId="1" fillId="5" borderId="1" xfId="3" applyNumberFormat="1" applyFont="1" applyFill="1" applyBorder="1" applyAlignment="1">
      <alignment horizontal="center" wrapText="1" readingOrder="1"/>
    </xf>
    <xf numFmtId="0" fontId="1" fillId="7" borderId="1" xfId="3" applyFont="1" applyFill="1" applyBorder="1" applyAlignment="1">
      <alignment horizontal="center" vertical="center" wrapText="1" readingOrder="1"/>
    </xf>
    <xf numFmtId="9" fontId="15" fillId="9" borderId="1" xfId="2" applyFont="1" applyFill="1" applyBorder="1" applyAlignment="1">
      <alignment wrapText="1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9" fillId="9" borderId="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14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wrapText="1"/>
    </xf>
    <xf numFmtId="9" fontId="15" fillId="9" borderId="1" xfId="4" applyFont="1" applyFill="1" applyBorder="1" applyAlignment="1">
      <alignment wrapText="1"/>
    </xf>
    <xf numFmtId="0" fontId="1" fillId="0" borderId="0" xfId="3" applyFont="1" applyAlignment="1">
      <alignment horizontal="center" vertical="center" wrapText="1"/>
    </xf>
    <xf numFmtId="0" fontId="7" fillId="0" borderId="0" xfId="3" applyFont="1" applyAlignment="1">
      <alignment horizontal="center" vertical="center" wrapText="1"/>
    </xf>
    <xf numFmtId="1" fontId="1" fillId="0" borderId="1" xfId="3" applyNumberFormat="1" applyFont="1" applyBorder="1" applyAlignment="1">
      <alignment horizontal="center" vertical="center" wrapText="1"/>
    </xf>
    <xf numFmtId="0" fontId="1" fillId="9" borderId="1" xfId="3" applyFont="1" applyFill="1" applyBorder="1" applyAlignment="1">
      <alignment horizontal="center" vertical="center" wrapText="1"/>
    </xf>
    <xf numFmtId="167" fontId="1" fillId="10" borderId="0" xfId="4" applyNumberFormat="1" applyFont="1" applyFill="1" applyAlignment="1">
      <alignment horizontal="center" vertical="center" wrapText="1"/>
    </xf>
    <xf numFmtId="49" fontId="1" fillId="5" borderId="1" xfId="3" applyNumberFormat="1" applyFont="1" applyFill="1" applyBorder="1" applyAlignment="1">
      <alignment horizontal="center" vertical="center" wrapText="1"/>
    </xf>
    <xf numFmtId="0" fontId="14" fillId="5" borderId="1" xfId="3" applyFont="1" applyFill="1" applyBorder="1" applyAlignment="1">
      <alignment horizontal="center" vertical="center" wrapText="1"/>
    </xf>
    <xf numFmtId="0" fontId="14" fillId="7" borderId="1" xfId="3" applyFont="1" applyFill="1" applyBorder="1" applyAlignment="1">
      <alignment horizontal="center" vertical="center" wrapText="1"/>
    </xf>
    <xf numFmtId="0" fontId="1" fillId="11" borderId="1" xfId="3" applyFont="1" applyFill="1" applyBorder="1" applyAlignment="1">
      <alignment horizontal="center" vertical="center" wrapText="1"/>
    </xf>
    <xf numFmtId="0" fontId="8" fillId="0" borderId="0" xfId="3" applyFont="1" applyAlignment="1">
      <alignment wrapText="1"/>
    </xf>
    <xf numFmtId="49" fontId="14" fillId="5" borderId="1" xfId="3" applyNumberFormat="1" applyFont="1" applyFill="1" applyBorder="1" applyAlignment="1">
      <alignment horizontal="center" vertical="center" wrapText="1"/>
    </xf>
    <xf numFmtId="0" fontId="9" fillId="0" borderId="1" xfId="3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167" fontId="1" fillId="10" borderId="0" xfId="4" applyNumberFormat="1" applyFont="1" applyFill="1" applyAlignment="1">
      <alignment wrapText="1"/>
    </xf>
    <xf numFmtId="49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22" fillId="3" borderId="1" xfId="0" applyFont="1" applyFill="1" applyBorder="1" applyAlignment="1" applyProtection="1">
      <alignment horizontal="center" vertical="center" wrapText="1" readingOrder="1"/>
      <protection locked="0"/>
    </xf>
    <xf numFmtId="0" fontId="22" fillId="3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 wrapText="1" readingOrder="1"/>
      <protection locked="0"/>
    </xf>
    <xf numFmtId="49" fontId="3" fillId="5" borderId="1" xfId="3" applyNumberFormat="1" applyFont="1" applyFill="1" applyBorder="1" applyAlignment="1" applyProtection="1">
      <alignment horizontal="center" vertical="center" wrapText="1" readingOrder="1"/>
      <protection locked="0"/>
    </xf>
    <xf numFmtId="1" fontId="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9" fillId="0" borderId="1" xfId="3" applyFont="1" applyBorder="1" applyAlignment="1" applyProtection="1">
      <alignment vertical="center" wrapText="1" readingOrder="1"/>
      <protection locked="0"/>
    </xf>
    <xf numFmtId="0" fontId="1" fillId="0" borderId="4" xfId="3" applyFont="1" applyBorder="1" applyAlignment="1">
      <alignment vertical="center" wrapText="1"/>
    </xf>
    <xf numFmtId="0" fontId="1" fillId="0" borderId="4" xfId="3" applyFont="1" applyBorder="1" applyAlignment="1" applyProtection="1">
      <alignment vertical="center" wrapText="1" readingOrder="1"/>
      <protection locked="0"/>
    </xf>
    <xf numFmtId="0" fontId="1" fillId="0" borderId="4" xfId="3" applyFont="1" applyBorder="1" applyAlignment="1">
      <alignment horizontal="center" vertical="center" wrapText="1"/>
    </xf>
    <xf numFmtId="0" fontId="9" fillId="0" borderId="1" xfId="3" applyFont="1" applyBorder="1" applyAlignment="1">
      <alignment horizontal="center" wrapText="1"/>
    </xf>
    <xf numFmtId="0" fontId="9" fillId="11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center" wrapText="1"/>
    </xf>
    <xf numFmtId="166" fontId="11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11" borderId="1" xfId="3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10" fontId="1" fillId="0" borderId="0" xfId="3" applyNumberFormat="1" applyFont="1" applyAlignment="1">
      <alignment wrapText="1" readingOrder="1"/>
    </xf>
    <xf numFmtId="0" fontId="9" fillId="3" borderId="1" xfId="3" applyFont="1" applyFill="1" applyBorder="1" applyAlignment="1" applyProtection="1">
      <alignment horizontal="left" vertical="center" wrapText="1" readingOrder="1"/>
      <protection locked="0"/>
    </xf>
    <xf numFmtId="0" fontId="9" fillId="0" borderId="3" xfId="3" applyFont="1" applyBorder="1" applyAlignment="1" applyProtection="1">
      <alignment horizontal="right" vertical="center" wrapText="1" readingOrder="1"/>
      <protection locked="0"/>
    </xf>
    <xf numFmtId="0" fontId="19" fillId="0" borderId="3" xfId="3" applyFont="1" applyBorder="1" applyAlignment="1" applyProtection="1">
      <alignment vertical="center" wrapText="1" readingOrder="1"/>
      <protection locked="0"/>
    </xf>
    <xf numFmtId="0" fontId="9" fillId="6" borderId="1" xfId="3" applyFont="1" applyFill="1" applyBorder="1" applyAlignment="1" applyProtection="1">
      <alignment horizontal="center" vertical="center" textRotation="90" wrapText="1" readingOrder="1"/>
      <protection locked="0"/>
    </xf>
    <xf numFmtId="0" fontId="9" fillId="7" borderId="1" xfId="3" applyFont="1" applyFill="1" applyBorder="1" applyAlignment="1" applyProtection="1">
      <alignment horizontal="center" vertical="center" wrapText="1" readingOrder="1"/>
      <protection locked="0"/>
    </xf>
    <xf numFmtId="49" fontId="9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4" borderId="1" xfId="3" applyFont="1" applyFill="1" applyBorder="1" applyAlignment="1" applyProtection="1">
      <alignment horizontal="center" vertical="center" wrapText="1" readingOrder="1"/>
      <protection locked="0"/>
    </xf>
    <xf numFmtId="9" fontId="9" fillId="9" borderId="1" xfId="4" applyFont="1" applyFill="1" applyBorder="1" applyAlignment="1">
      <alignment wrapText="1"/>
    </xf>
    <xf numFmtId="0" fontId="9" fillId="0" borderId="0" xfId="3" applyFont="1" applyAlignment="1">
      <alignment wrapText="1"/>
    </xf>
    <xf numFmtId="0" fontId="9" fillId="3" borderId="1" xfId="3" applyFont="1" applyFill="1" applyBorder="1" applyAlignment="1">
      <alignment horizontal="left" vertical="center" wrapText="1"/>
    </xf>
    <xf numFmtId="0" fontId="10" fillId="0" borderId="0" xfId="3" applyFont="1" applyAlignment="1">
      <alignment wrapText="1"/>
    </xf>
    <xf numFmtId="0" fontId="9" fillId="0" borderId="1" xfId="3" applyFont="1" applyBorder="1" applyAlignment="1" applyProtection="1">
      <alignment horizontal="center" vertical="center" wrapText="1" readingOrder="1"/>
      <protection locked="0"/>
    </xf>
    <xf numFmtId="0" fontId="9" fillId="0" borderId="1" xfId="3" applyFont="1" applyBorder="1" applyAlignment="1">
      <alignment horizontal="left" vertical="center" wrapText="1"/>
    </xf>
    <xf numFmtId="0" fontId="9" fillId="9" borderId="1" xfId="3" applyFont="1" applyFill="1" applyBorder="1" applyAlignment="1">
      <alignment wrapText="1"/>
    </xf>
    <xf numFmtId="0" fontId="9" fillId="9" borderId="1" xfId="3" applyFont="1" applyFill="1" applyBorder="1" applyAlignment="1">
      <alignment horizontal="left" vertical="center" wrapText="1"/>
    </xf>
    <xf numFmtId="0" fontId="10" fillId="9" borderId="1" xfId="3" applyFont="1" applyFill="1" applyBorder="1" applyAlignment="1">
      <alignment horizontal="left" vertical="center" wrapText="1"/>
    </xf>
    <xf numFmtId="165" fontId="9" fillId="9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9" borderId="1" xfId="3" applyFont="1" applyFill="1" applyBorder="1" applyAlignment="1">
      <alignment horizontal="center" vertical="center" wrapText="1"/>
    </xf>
    <xf numFmtId="9" fontId="19" fillId="10" borderId="1" xfId="4" applyFont="1" applyFill="1" applyBorder="1" applyAlignment="1" applyProtection="1">
      <alignment horizontal="center" vertical="center" wrapText="1" readingOrder="1"/>
      <protection locked="0"/>
    </xf>
    <xf numFmtId="0" fontId="9" fillId="13" borderId="1" xfId="3" applyFont="1" applyFill="1" applyBorder="1" applyAlignment="1" applyProtection="1">
      <alignment horizontal="center" vertical="center" wrapText="1" readingOrder="1"/>
      <protection locked="0"/>
    </xf>
    <xf numFmtId="0" fontId="9" fillId="13" borderId="1" xfId="0" applyFont="1" applyFill="1" applyBorder="1" applyAlignment="1">
      <alignment horizontal="left" vertical="center" wrapText="1"/>
    </xf>
    <xf numFmtId="0" fontId="9" fillId="13" borderId="1" xfId="0" applyFont="1" applyFill="1" applyBorder="1" applyAlignment="1" applyProtection="1">
      <alignment horizontal="left" vertical="center" wrapText="1" readingOrder="1"/>
      <protection locked="0"/>
    </xf>
    <xf numFmtId="0" fontId="9" fillId="13" borderId="1" xfId="0" applyFont="1" applyFill="1" applyBorder="1" applyAlignment="1">
      <alignment horizontal="center" vertical="center" wrapText="1"/>
    </xf>
    <xf numFmtId="0" fontId="9" fillId="13" borderId="1" xfId="3" applyFont="1" applyFill="1" applyBorder="1" applyAlignment="1">
      <alignment horizontal="center" vertical="center" wrapText="1"/>
    </xf>
    <xf numFmtId="49" fontId="9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2" borderId="1" xfId="3" applyFont="1" applyFill="1" applyBorder="1" applyAlignment="1" applyProtection="1">
      <alignment horizontal="center" vertical="center" wrapText="1" readingOrder="1"/>
      <protection locked="0"/>
    </xf>
    <xf numFmtId="0" fontId="19" fillId="2" borderId="1" xfId="3" applyFont="1" applyFill="1" applyBorder="1" applyAlignment="1" applyProtection="1">
      <alignment vertical="center" wrapText="1" readingOrder="1"/>
      <protection locked="0"/>
    </xf>
    <xf numFmtId="0" fontId="19" fillId="3" borderId="1" xfId="3" applyFont="1" applyFill="1" applyBorder="1" applyAlignment="1" applyProtection="1">
      <alignment horizontal="center" vertical="center" wrapText="1" readingOrder="1"/>
      <protection locked="0"/>
    </xf>
    <xf numFmtId="0" fontId="19" fillId="3" borderId="1" xfId="3" applyFont="1" applyFill="1" applyBorder="1" applyAlignment="1">
      <alignment horizontal="left" vertical="center" wrapText="1"/>
    </xf>
    <xf numFmtId="0" fontId="19" fillId="3" borderId="1" xfId="3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 applyProtection="1">
      <alignment horizontal="center" vertical="center" wrapText="1" readingOrder="1"/>
      <protection locked="0"/>
    </xf>
    <xf numFmtId="166" fontId="19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9" fillId="5" borderId="1" xfId="3" applyNumberFormat="1" applyFont="1" applyFill="1" applyBorder="1" applyAlignment="1">
      <alignment horizontal="center" vertical="center" wrapText="1"/>
    </xf>
    <xf numFmtId="0" fontId="9" fillId="5" borderId="1" xfId="3" applyFont="1" applyFill="1" applyBorder="1" applyAlignment="1" applyProtection="1">
      <alignment horizontal="center" vertical="center" wrapText="1" readingOrder="1"/>
      <protection locked="0"/>
    </xf>
    <xf numFmtId="0" fontId="19" fillId="5" borderId="1" xfId="3" applyFont="1" applyFill="1" applyBorder="1" applyAlignment="1" applyProtection="1">
      <alignment vertical="center" wrapText="1" readingOrder="1"/>
      <protection locked="0"/>
    </xf>
    <xf numFmtId="0" fontId="19" fillId="5" borderId="1" xfId="3" applyFont="1" applyFill="1" applyBorder="1" applyAlignment="1" applyProtection="1">
      <alignment horizontal="center" vertical="center" wrapText="1" readingOrder="1"/>
      <protection locked="0"/>
    </xf>
    <xf numFmtId="0" fontId="19" fillId="5" borderId="1" xfId="3" applyFont="1" applyFill="1" applyBorder="1" applyAlignment="1">
      <alignment horizontal="center" vertical="center" wrapText="1"/>
    </xf>
    <xf numFmtId="0" fontId="9" fillId="11" borderId="1" xfId="0" applyFont="1" applyFill="1" applyBorder="1" applyAlignment="1">
      <alignment wrapText="1"/>
    </xf>
    <xf numFmtId="0" fontId="10" fillId="0" borderId="0" xfId="3" applyFont="1" applyAlignment="1">
      <alignment horizontal="left" wrapText="1"/>
    </xf>
    <xf numFmtId="0" fontId="19" fillId="3" borderId="1" xfId="3" applyFont="1" applyFill="1" applyBorder="1" applyAlignment="1" applyProtection="1">
      <alignment vertical="center" wrapText="1" readingOrder="1"/>
      <protection locked="0"/>
    </xf>
    <xf numFmtId="168" fontId="9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9" fillId="0" borderId="1" xfId="3" applyFont="1" applyBorder="1" applyAlignment="1">
      <alignment horizontal="center" vertical="center" wrapText="1" readingOrder="1"/>
    </xf>
    <xf numFmtId="165" fontId="9" fillId="9" borderId="1" xfId="3" applyNumberFormat="1" applyFont="1" applyFill="1" applyBorder="1" applyAlignment="1" applyProtection="1">
      <alignment horizontal="left" vertical="center" wrapText="1" readingOrder="1"/>
      <protection locked="0"/>
    </xf>
    <xf numFmtId="9" fontId="9" fillId="9" borderId="1" xfId="4" applyFont="1" applyFill="1" applyBorder="1" applyAlignment="1">
      <alignment horizontal="center" wrapText="1"/>
    </xf>
    <xf numFmtId="0" fontId="10" fillId="9" borderId="1" xfId="3" applyFont="1" applyFill="1" applyBorder="1" applyAlignment="1">
      <alignment wrapText="1"/>
    </xf>
    <xf numFmtId="168" fontId="9" fillId="0" borderId="1" xfId="3" applyNumberFormat="1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19" fillId="6" borderId="1" xfId="3" applyFont="1" applyFill="1" applyBorder="1" applyAlignment="1" applyProtection="1">
      <alignment vertical="center" wrapText="1" readingOrder="1"/>
      <protection locked="0"/>
    </xf>
    <xf numFmtId="0" fontId="19" fillId="7" borderId="1" xfId="3" applyFont="1" applyFill="1" applyBorder="1" applyAlignment="1" applyProtection="1">
      <alignment horizontal="center" vertical="center" wrapText="1" readingOrder="1"/>
      <protection locked="0"/>
    </xf>
    <xf numFmtId="0" fontId="19" fillId="7" borderId="1" xfId="3" applyFont="1" applyFill="1" applyBorder="1" applyAlignment="1">
      <alignment horizontal="center" vertical="center" wrapText="1"/>
    </xf>
    <xf numFmtId="0" fontId="10" fillId="0" borderId="0" xfId="3" applyFont="1" applyAlignment="1">
      <alignment horizontal="left"/>
    </xf>
    <xf numFmtId="0" fontId="9" fillId="7" borderId="1" xfId="3" applyFont="1" applyFill="1" applyBorder="1" applyAlignment="1" applyProtection="1">
      <alignment horizontal="left" vertical="center" wrapText="1" readingOrder="1"/>
      <protection locked="0"/>
    </xf>
    <xf numFmtId="0" fontId="19" fillId="0" borderId="0" xfId="3" applyFont="1" applyAlignment="1">
      <alignment horizontal="center"/>
    </xf>
    <xf numFmtId="9" fontId="9" fillId="0" borderId="0" xfId="4" applyFont="1" applyAlignment="1">
      <alignment horizontal="center"/>
    </xf>
    <xf numFmtId="0" fontId="9" fillId="0" borderId="0" xfId="3" applyFont="1" applyAlignment="1" applyProtection="1">
      <alignment horizontal="right" vertical="center" wrapText="1" readingOrder="1"/>
      <protection locked="0"/>
    </xf>
    <xf numFmtId="9" fontId="9" fillId="0" borderId="0" xfId="4" applyFont="1"/>
    <xf numFmtId="169" fontId="9" fillId="3" borderId="1" xfId="3" applyNumberFormat="1" applyFont="1" applyFill="1" applyBorder="1" applyAlignment="1">
      <alignment horizontal="center" vertical="center" wrapText="1"/>
    </xf>
    <xf numFmtId="1" fontId="9" fillId="0" borderId="1" xfId="3" applyNumberFormat="1" applyFont="1" applyBorder="1" applyAlignment="1">
      <alignment horizontal="center" vertical="center" wrapText="1"/>
    </xf>
    <xf numFmtId="9" fontId="9" fillId="0" borderId="1" xfId="4" applyFont="1" applyFill="1" applyBorder="1" applyAlignment="1">
      <alignment wrapText="1"/>
    </xf>
    <xf numFmtId="0" fontId="9" fillId="13" borderId="1" xfId="3" applyFont="1" applyFill="1" applyBorder="1" applyAlignment="1" applyProtection="1">
      <alignment horizontal="left" vertical="center" wrapText="1" readingOrder="1"/>
      <protection locked="0"/>
    </xf>
    <xf numFmtId="0" fontId="9" fillId="13" borderId="1" xfId="3" applyFont="1" applyFill="1" applyBorder="1" applyAlignment="1">
      <alignment horizontal="left" vertical="center" wrapText="1"/>
    </xf>
    <xf numFmtId="9" fontId="9" fillId="9" borderId="1" xfId="4" applyFont="1" applyFill="1" applyBorder="1" applyAlignment="1" applyProtection="1">
      <alignment horizontal="center" vertical="center" wrapText="1" readingOrder="1"/>
      <protection locked="0"/>
    </xf>
    <xf numFmtId="168" fontId="9" fillId="0" borderId="1" xfId="3" applyNumberFormat="1" applyFont="1" applyBorder="1" applyAlignment="1">
      <alignment horizontal="center" vertical="center" wrapText="1"/>
    </xf>
    <xf numFmtId="9" fontId="9" fillId="14" borderId="1" xfId="4" applyFont="1" applyFill="1" applyBorder="1" applyAlignment="1">
      <alignment wrapText="1"/>
    </xf>
    <xf numFmtId="9" fontId="19" fillId="14" borderId="1" xfId="4" applyFont="1" applyFill="1" applyBorder="1" applyAlignment="1" applyProtection="1">
      <alignment horizontal="center" vertical="center" wrapText="1" readingOrder="1"/>
      <protection locked="0"/>
    </xf>
    <xf numFmtId="0" fontId="9" fillId="13" borderId="1" xfId="3" applyFont="1" applyFill="1" applyBorder="1" applyAlignment="1" applyProtection="1">
      <alignment vertical="center" wrapText="1" readingOrder="1"/>
      <protection locked="0"/>
    </xf>
    <xf numFmtId="0" fontId="9" fillId="13" borderId="1" xfId="3" applyFont="1" applyFill="1" applyBorder="1" applyAlignment="1">
      <alignment wrapText="1"/>
    </xf>
    <xf numFmtId="0" fontId="9" fillId="13" borderId="1" xfId="3" applyFont="1" applyFill="1" applyBorder="1" applyAlignment="1">
      <alignment horizontal="center" wrapText="1"/>
    </xf>
    <xf numFmtId="0" fontId="9" fillId="0" borderId="1" xfId="3" applyFont="1" applyBorder="1" applyAlignment="1" applyProtection="1">
      <alignment vertical="center" wrapText="1" readingOrder="1"/>
      <protection locked="0"/>
    </xf>
    <xf numFmtId="0" fontId="19" fillId="15" borderId="1" xfId="3" applyFont="1" applyFill="1" applyBorder="1" applyAlignment="1">
      <alignment horizontal="center" vertical="center" wrapText="1"/>
    </xf>
    <xf numFmtId="9" fontId="9" fillId="15" borderId="1" xfId="4" applyFont="1" applyFill="1" applyBorder="1" applyAlignment="1">
      <alignment wrapText="1"/>
    </xf>
    <xf numFmtId="0" fontId="19" fillId="5" borderId="1" xfId="3" applyFont="1" applyFill="1" applyBorder="1" applyAlignment="1">
      <alignment horizontal="center" wrapText="1"/>
    </xf>
    <xf numFmtId="0" fontId="9" fillId="3" borderId="1" xfId="3" applyFont="1" applyFill="1" applyBorder="1" applyAlignment="1">
      <alignment horizontal="center" wrapText="1"/>
    </xf>
    <xf numFmtId="168" fontId="9" fillId="0" borderId="1" xfId="3" applyNumberFormat="1" applyFont="1" applyBorder="1" applyAlignment="1">
      <alignment horizontal="center" wrapText="1"/>
    </xf>
    <xf numFmtId="0" fontId="19" fillId="7" borderId="1" xfId="3" applyFont="1" applyFill="1" applyBorder="1" applyAlignment="1">
      <alignment horizontal="center" wrapText="1"/>
    </xf>
    <xf numFmtId="0" fontId="9" fillId="7" borderId="1" xfId="3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center" vertical="center" wrapText="1" readingOrder="1"/>
    </xf>
    <xf numFmtId="0" fontId="22" fillId="0" borderId="1" xfId="0" applyFont="1" applyBorder="1" applyAlignment="1">
      <alignment horizontal="center" vertical="center" readingOrder="1"/>
    </xf>
    <xf numFmtId="0" fontId="23" fillId="0" borderId="1" xfId="0" applyFont="1" applyBorder="1" applyAlignment="1">
      <alignment horizontal="center" vertical="center" readingOrder="1"/>
    </xf>
    <xf numFmtId="0" fontId="9" fillId="0" borderId="1" xfId="0" applyFont="1" applyBorder="1" applyAlignment="1">
      <alignment horizontal="center" vertical="center" wrapText="1" readingOrder="1"/>
    </xf>
    <xf numFmtId="166" fontId="9" fillId="3" borderId="1" xfId="3" applyNumberFormat="1" applyFont="1" applyFill="1" applyBorder="1" applyAlignment="1">
      <alignment horizontal="center" wrapText="1" readingOrder="1"/>
    </xf>
    <xf numFmtId="166" fontId="9" fillId="5" borderId="1" xfId="3" applyNumberFormat="1" applyFont="1" applyFill="1" applyBorder="1" applyAlignment="1">
      <alignment horizontal="center" wrapText="1" readingOrder="1"/>
    </xf>
    <xf numFmtId="164" fontId="9" fillId="0" borderId="1" xfId="3" applyNumberFormat="1" applyFont="1" applyBorder="1" applyAlignment="1" applyProtection="1">
      <alignment horizontal="center" vertical="center" wrapText="1" readingOrder="1"/>
      <protection locked="0"/>
    </xf>
    <xf numFmtId="166" fontId="9" fillId="12" borderId="16" xfId="5" applyNumberFormat="1" applyFont="1" applyFill="1" applyBorder="1" applyAlignment="1" applyProtection="1">
      <alignment horizontal="center" vertical="center" wrapText="1" readingOrder="1"/>
      <protection locked="0"/>
    </xf>
    <xf numFmtId="166" fontId="19" fillId="11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9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horizontal="left" vertical="center" wrapText="1" readingOrder="1"/>
      <protection locked="0"/>
    </xf>
    <xf numFmtId="166" fontId="9" fillId="8" borderId="16" xfId="3" applyNumberFormat="1" applyFont="1" applyFill="1" applyBorder="1" applyAlignment="1" applyProtection="1">
      <alignment horizontal="center" vertical="center" wrapText="1" readingOrder="1"/>
      <protection locked="0"/>
    </xf>
    <xf numFmtId="166" fontId="9" fillId="12" borderId="16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4" xfId="3" applyFont="1" applyBorder="1" applyAlignment="1">
      <alignment horizontal="center" vertical="center" wrapText="1" readingOrder="1"/>
    </xf>
    <xf numFmtId="0" fontId="1" fillId="0" borderId="4" xfId="3" applyFont="1" applyBorder="1" applyAlignment="1" applyProtection="1">
      <alignment horizontal="center" vertical="center" wrapText="1" readingOrder="1"/>
      <protection locked="0"/>
    </xf>
    <xf numFmtId="166" fontId="1" fillId="8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0" applyFont="1" applyBorder="1" applyAlignment="1">
      <alignment horizontal="center" vertical="center" wrapText="1" readingOrder="1"/>
    </xf>
    <xf numFmtId="1" fontId="9" fillId="11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11" borderId="1" xfId="3" applyFont="1" applyFill="1" applyBorder="1" applyAlignment="1">
      <alignment horizontal="left" vertical="center" wrapText="1"/>
    </xf>
    <xf numFmtId="0" fontId="24" fillId="8" borderId="1" xfId="3" applyFont="1" applyFill="1" applyBorder="1" applyAlignment="1" applyProtection="1">
      <alignment horizontal="left" vertical="center" wrapText="1" readingOrder="1"/>
      <protection locked="0"/>
    </xf>
    <xf numFmtId="168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/>
    </xf>
    <xf numFmtId="0" fontId="9" fillId="3" borderId="13" xfId="3" applyFont="1" applyFill="1" applyBorder="1" applyAlignment="1">
      <alignment horizontal="center" vertical="center" wrapText="1"/>
    </xf>
    <xf numFmtId="0" fontId="9" fillId="0" borderId="13" xfId="3" applyFont="1" applyBorder="1" applyAlignment="1">
      <alignment horizontal="center" vertical="center" wrapText="1"/>
    </xf>
    <xf numFmtId="0" fontId="9" fillId="9" borderId="13" xfId="3" applyFont="1" applyFill="1" applyBorder="1" applyAlignment="1">
      <alignment horizontal="center" vertical="center" wrapText="1"/>
    </xf>
    <xf numFmtId="0" fontId="19" fillId="3" borderId="4" xfId="3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7" fillId="0" borderId="0" xfId="3" applyFont="1" applyAlignment="1">
      <alignment wrapText="1"/>
    </xf>
    <xf numFmtId="166" fontId="24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13" borderId="11" xfId="3" applyFont="1" applyFill="1" applyBorder="1" applyAlignment="1" applyProtection="1">
      <alignment horizontal="left" vertical="center" wrapText="1" readingOrder="1"/>
      <protection locked="0"/>
    </xf>
    <xf numFmtId="0" fontId="9" fillId="13" borderId="11" xfId="3" applyFont="1" applyFill="1" applyBorder="1" applyAlignment="1">
      <alignment horizontal="left" vertical="center" wrapText="1"/>
    </xf>
    <xf numFmtId="0" fontId="9" fillId="13" borderId="11" xfId="3" applyFont="1" applyFill="1" applyBorder="1" applyAlignment="1">
      <alignment horizontal="center" vertical="center" wrapText="1"/>
    </xf>
    <xf numFmtId="0" fontId="14" fillId="0" borderId="1" xfId="3" applyFont="1" applyBorder="1" applyAlignment="1" applyProtection="1">
      <alignment horizontal="center" vertical="center" wrapText="1" readingOrder="1"/>
      <protection locked="0"/>
    </xf>
    <xf numFmtId="0" fontId="1" fillId="6" borderId="1" xfId="3" applyFont="1" applyFill="1" applyBorder="1" applyAlignment="1" applyProtection="1">
      <alignment horizontal="center" vertical="center" wrapText="1" readingOrder="1"/>
      <protection locked="0"/>
    </xf>
    <xf numFmtId="166" fontId="1" fillId="12" borderId="1" xfId="3" applyNumberFormat="1" applyFont="1" applyFill="1" applyBorder="1" applyAlignment="1" applyProtection="1">
      <alignment horizontal="center" vertical="center" wrapText="1" readingOrder="1"/>
      <protection locked="0"/>
    </xf>
    <xf numFmtId="166" fontId="14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14" fillId="6" borderId="1" xfId="3" applyNumberFormat="1" applyFont="1" applyFill="1" applyBorder="1" applyAlignment="1" applyProtection="1">
      <alignment horizontal="center" vertical="center" wrapText="1" readingOrder="1"/>
      <protection locked="0"/>
    </xf>
    <xf numFmtId="164" fontId="6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9" fillId="0" borderId="6" xfId="3" applyFont="1" applyBorder="1" applyAlignment="1">
      <alignment horizontal="left" vertical="center" wrapText="1"/>
    </xf>
    <xf numFmtId="0" fontId="9" fillId="11" borderId="6" xfId="3" applyFont="1" applyFill="1" applyBorder="1" applyAlignment="1">
      <alignment horizontal="left" vertical="center" wrapText="1"/>
    </xf>
    <xf numFmtId="9" fontId="9" fillId="9" borderId="13" xfId="4" applyFont="1" applyFill="1" applyBorder="1" applyAlignment="1">
      <alignment wrapText="1"/>
    </xf>
    <xf numFmtId="0" fontId="10" fillId="9" borderId="11" xfId="3" applyFont="1" applyFill="1" applyBorder="1" applyAlignment="1">
      <alignment horizontal="left" vertical="center" wrapText="1"/>
    </xf>
    <xf numFmtId="0" fontId="9" fillId="9" borderId="11" xfId="3" applyFont="1" applyFill="1" applyBorder="1" applyAlignment="1">
      <alignment horizontal="left" vertical="center" wrapText="1"/>
    </xf>
    <xf numFmtId="165" fontId="9" fillId="9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9" borderId="11" xfId="3" applyFont="1" applyFill="1" applyBorder="1" applyAlignment="1">
      <alignment horizontal="center" vertical="center" wrapText="1"/>
    </xf>
    <xf numFmtId="0" fontId="26" fillId="16" borderId="1" xfId="0" applyFont="1" applyFill="1" applyBorder="1" applyAlignment="1">
      <alignment vertical="center" wrapText="1"/>
    </xf>
    <xf numFmtId="0" fontId="26" fillId="16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 applyProtection="1">
      <alignment horizontal="left" vertical="center" wrapText="1" readingOrder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" fillId="0" borderId="1" xfId="3" applyFont="1" applyFill="1" applyBorder="1" applyAlignment="1" applyProtection="1">
      <alignment horizontal="left" vertical="center" wrapText="1" readingOrder="1"/>
      <protection locked="0"/>
    </xf>
    <xf numFmtId="0" fontId="1" fillId="0" borderId="1" xfId="3" applyFont="1" applyFill="1" applyBorder="1" applyAlignment="1">
      <alignment horizontal="left" vertical="center" wrapText="1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top" wrapText="1" readingOrder="1"/>
      <protection locked="0"/>
    </xf>
    <xf numFmtId="0" fontId="26" fillId="0" borderId="1" xfId="0" applyFont="1" applyFill="1" applyBorder="1" applyAlignment="1">
      <alignment vertical="center" wrapText="1"/>
    </xf>
    <xf numFmtId="0" fontId="26" fillId="0" borderId="0" xfId="0" applyFont="1" applyFill="1"/>
    <xf numFmtId="0" fontId="1" fillId="0" borderId="0" xfId="0" applyFont="1" applyFill="1" applyAlignment="1">
      <alignment vertical="center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/>
    <xf numFmtId="0" fontId="1" fillId="0" borderId="11" xfId="0" applyFont="1" applyFill="1" applyBorder="1"/>
    <xf numFmtId="0" fontId="9" fillId="0" borderId="1" xfId="3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49" fontId="3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1" xfId="0" applyFont="1" applyFill="1" applyBorder="1" applyAlignment="1" applyProtection="1">
      <alignment horizontal="left" vertical="center" wrapText="1" readingOrder="1"/>
      <protection locked="0"/>
    </xf>
    <xf numFmtId="0" fontId="6" fillId="0" borderId="0" xfId="0" applyFont="1" applyAlignment="1">
      <alignment horizontal="left" wrapText="1"/>
    </xf>
    <xf numFmtId="0" fontId="1" fillId="0" borderId="1" xfId="0" applyFont="1" applyBorder="1" applyAlignment="1" applyProtection="1">
      <alignment horizontal="center" vertical="center" wrapText="1" readingOrder="1"/>
      <protection locked="0"/>
    </xf>
    <xf numFmtId="0" fontId="3" fillId="0" borderId="1" xfId="0" applyFont="1" applyBorder="1" applyAlignment="1" applyProtection="1">
      <alignment horizontal="center" vertical="center" wrapText="1" readingOrder="1"/>
      <protection locked="0"/>
    </xf>
    <xf numFmtId="0" fontId="1" fillId="3" borderId="1" xfId="0" applyFont="1" applyFill="1" applyBorder="1" applyAlignment="1" applyProtection="1">
      <alignment horizontal="center" vertical="center" wrapText="1" readingOrder="1"/>
      <protection locked="0"/>
    </xf>
    <xf numFmtId="0" fontId="18" fillId="0" borderId="1" xfId="0" applyFont="1" applyBorder="1" applyAlignment="1" applyProtection="1">
      <alignment horizontal="left" vertical="center" wrapText="1" readingOrder="1"/>
      <protection locked="0"/>
    </xf>
    <xf numFmtId="0" fontId="3" fillId="7" borderId="1" xfId="0" applyFont="1" applyFill="1" applyBorder="1" applyAlignment="1" applyProtection="1">
      <alignment horizontal="left" vertical="center" wrapText="1" readingOrder="1"/>
      <protection locked="0"/>
    </xf>
    <xf numFmtId="0" fontId="14" fillId="0" borderId="0" xfId="0" applyFont="1" applyAlignment="1">
      <alignment horizontal="left"/>
    </xf>
    <xf numFmtId="0" fontId="3" fillId="3" borderId="1" xfId="0" applyFont="1" applyFill="1" applyBorder="1" applyAlignment="1" applyProtection="1">
      <alignment horizontal="center" vertical="center" wrapText="1" readingOrder="1"/>
      <protection locked="0"/>
    </xf>
    <xf numFmtId="0" fontId="6" fillId="0" borderId="7" xfId="0" applyFont="1" applyBorder="1" applyAlignment="1">
      <alignment horizontal="left" vertical="top" wrapText="1"/>
    </xf>
    <xf numFmtId="0" fontId="24" fillId="0" borderId="1" xfId="0" applyFont="1" applyBorder="1" applyAlignment="1" applyProtection="1">
      <alignment horizontal="left" vertical="center" wrapText="1" readingOrder="1"/>
      <protection locked="0"/>
    </xf>
    <xf numFmtId="0" fontId="3" fillId="2" borderId="6" xfId="0" applyFont="1" applyFill="1" applyBorder="1" applyAlignment="1" applyProtection="1">
      <alignment horizontal="left" vertical="center" wrapText="1" readingOrder="1"/>
      <protection locked="0"/>
    </xf>
    <xf numFmtId="0" fontId="3" fillId="2" borderId="5" xfId="0" applyFont="1" applyFill="1" applyBorder="1" applyAlignment="1" applyProtection="1">
      <alignment horizontal="left" vertical="center" wrapText="1" readingOrder="1"/>
      <protection locked="0"/>
    </xf>
    <xf numFmtId="0" fontId="3" fillId="2" borderId="13" xfId="0" applyFont="1" applyFill="1" applyBorder="1" applyAlignment="1" applyProtection="1">
      <alignment horizontal="left" vertical="center" wrapText="1" readingOrder="1"/>
      <protection locked="0"/>
    </xf>
    <xf numFmtId="0" fontId="1" fillId="4" borderId="1" xfId="0" applyFont="1" applyFill="1" applyBorder="1" applyAlignment="1" applyProtection="1">
      <alignment horizontal="left" vertical="center" wrapText="1" readingOrder="1"/>
      <protection locked="0"/>
    </xf>
    <xf numFmtId="0" fontId="1" fillId="3" borderId="1" xfId="0" applyFont="1" applyFill="1" applyBorder="1" applyAlignment="1" applyProtection="1">
      <alignment horizontal="left" vertical="center" wrapText="1" readingOrder="1"/>
      <protection locked="0"/>
    </xf>
    <xf numFmtId="0" fontId="9" fillId="3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 applyProtection="1">
      <alignment horizontal="right" vertical="center" wrapText="1" readingOrder="1"/>
      <protection locked="0"/>
    </xf>
    <xf numFmtId="0" fontId="11" fillId="6" borderId="1" xfId="0" applyFont="1" applyFill="1" applyBorder="1" applyAlignment="1" applyProtection="1">
      <alignment horizontal="right" vertical="center" wrapText="1" readingOrder="1"/>
      <protection locked="0"/>
    </xf>
    <xf numFmtId="49" fontId="3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0" xfId="0" applyFont="1" applyAlignment="1">
      <alignment horizontal="left" vertical="top" wrapText="1"/>
    </xf>
    <xf numFmtId="0" fontId="11" fillId="7" borderId="1" xfId="3" applyFont="1" applyFill="1" applyBorder="1" applyAlignment="1" applyProtection="1">
      <alignment horizontal="center" vertical="center" wrapText="1" readingOrder="1"/>
      <protection locked="0"/>
    </xf>
    <xf numFmtId="0" fontId="11" fillId="6" borderId="1" xfId="3" applyFont="1" applyFill="1" applyBorder="1" applyAlignment="1" applyProtection="1">
      <alignment horizontal="center" vertical="center" wrapText="1" readingOrder="1"/>
      <protection locked="0"/>
    </xf>
    <xf numFmtId="0" fontId="9" fillId="3" borderId="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 readingOrder="1"/>
      <protection locked="0"/>
    </xf>
    <xf numFmtId="0" fontId="1" fillId="3" borderId="10" xfId="0" applyFont="1" applyFill="1" applyBorder="1" applyAlignment="1" applyProtection="1">
      <alignment horizontal="center" vertical="center" wrapText="1" readingOrder="1"/>
      <protection locked="0"/>
    </xf>
    <xf numFmtId="0" fontId="1" fillId="3" borderId="11" xfId="0" applyFont="1" applyFill="1" applyBorder="1" applyAlignment="1" applyProtection="1">
      <alignment horizontal="center" vertical="center" wrapText="1" readingOrder="1"/>
      <protection locked="0"/>
    </xf>
    <xf numFmtId="0" fontId="1" fillId="3" borderId="12" xfId="0" applyFont="1" applyFill="1" applyBorder="1" applyAlignment="1" applyProtection="1">
      <alignment horizontal="left" vertical="center" wrapText="1" readingOrder="1"/>
      <protection locked="0"/>
    </xf>
    <xf numFmtId="0" fontId="1" fillId="3" borderId="7" xfId="0" applyFont="1" applyFill="1" applyBorder="1" applyAlignment="1" applyProtection="1">
      <alignment horizontal="left" vertical="center" wrapText="1" readingOrder="1"/>
      <protection locked="0"/>
    </xf>
    <xf numFmtId="0" fontId="1" fillId="3" borderId="14" xfId="0" applyFont="1" applyFill="1" applyBorder="1" applyAlignment="1" applyProtection="1">
      <alignment horizontal="left" vertical="center" wrapText="1" readingOrder="1"/>
      <protection locked="0"/>
    </xf>
    <xf numFmtId="0" fontId="1" fillId="3" borderId="2" xfId="0" applyFont="1" applyFill="1" applyBorder="1" applyAlignment="1" applyProtection="1">
      <alignment horizontal="left" vertical="center" wrapText="1" readingOrder="1"/>
      <protection locked="0"/>
    </xf>
    <xf numFmtId="0" fontId="1" fillId="3" borderId="0" xfId="0" applyFont="1" applyFill="1" applyAlignment="1" applyProtection="1">
      <alignment horizontal="left" vertical="center" wrapText="1" readingOrder="1"/>
      <protection locked="0"/>
    </xf>
    <xf numFmtId="0" fontId="1" fillId="3" borderId="8" xfId="0" applyFont="1" applyFill="1" applyBorder="1" applyAlignment="1" applyProtection="1">
      <alignment horizontal="left" vertical="center" wrapText="1" readingOrder="1"/>
      <protection locked="0"/>
    </xf>
    <xf numFmtId="0" fontId="1" fillId="3" borderId="9" xfId="0" applyFont="1" applyFill="1" applyBorder="1" applyAlignment="1" applyProtection="1">
      <alignment horizontal="left" vertical="center" wrapText="1" readingOrder="1"/>
      <protection locked="0"/>
    </xf>
    <xf numFmtId="0" fontId="1" fillId="3" borderId="3" xfId="0" applyFont="1" applyFill="1" applyBorder="1" applyAlignment="1" applyProtection="1">
      <alignment horizontal="left" vertical="center" wrapText="1" readingOrder="1"/>
      <protection locked="0"/>
    </xf>
    <xf numFmtId="0" fontId="1" fillId="3" borderId="15" xfId="0" applyFont="1" applyFill="1" applyBorder="1" applyAlignment="1" applyProtection="1">
      <alignment horizontal="left" vertical="center" wrapText="1" readingOrder="1"/>
      <protection locked="0"/>
    </xf>
    <xf numFmtId="49" fontId="3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4" borderId="10" xfId="0" applyNumberFormat="1" applyFont="1" applyFill="1" applyBorder="1" applyAlignment="1" applyProtection="1">
      <alignment horizontal="center" vertical="center" wrapText="1" readingOrder="1"/>
      <protection locked="0"/>
    </xf>
    <xf numFmtId="49" fontId="3" fillId="4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3" borderId="10" xfId="0" applyFont="1" applyFill="1" applyBorder="1" applyAlignment="1" applyProtection="1">
      <alignment horizontal="center" vertical="center" wrapText="1" readingOrder="1"/>
      <protection locked="0"/>
    </xf>
    <xf numFmtId="0" fontId="3" fillId="3" borderId="11" xfId="0" applyFont="1" applyFill="1" applyBorder="1" applyAlignment="1" applyProtection="1">
      <alignment horizontal="center" vertical="center" wrapText="1" readingOrder="1"/>
      <protection locked="0"/>
    </xf>
    <xf numFmtId="0" fontId="11" fillId="0" borderId="0" xfId="0" applyFont="1" applyAlignment="1" applyProtection="1">
      <alignment horizontal="center" vertical="center" wrapText="1" readingOrder="1"/>
      <protection locked="0"/>
    </xf>
    <xf numFmtId="9" fontId="12" fillId="6" borderId="1" xfId="2" applyFont="1" applyFill="1" applyBorder="1" applyAlignment="1" applyProtection="1">
      <alignment horizontal="center" vertical="center" wrapText="1" readingOrder="1"/>
      <protection locked="0"/>
    </xf>
    <xf numFmtId="0" fontId="19" fillId="6" borderId="1" xfId="3" applyFont="1" applyFill="1" applyBorder="1" applyAlignment="1" applyProtection="1">
      <alignment horizontal="center" vertical="center" wrapText="1" readingOrder="1"/>
      <protection locked="0"/>
    </xf>
    <xf numFmtId="0" fontId="11" fillId="6" borderId="1" xfId="3" applyFont="1" applyFill="1" applyBorder="1" applyAlignment="1" applyProtection="1">
      <alignment horizontal="center" vertical="center" textRotation="90" wrapText="1" readingOrder="1"/>
      <protection locked="0"/>
    </xf>
    <xf numFmtId="0" fontId="13" fillId="6" borderId="1" xfId="3" applyFont="1" applyFill="1" applyBorder="1" applyAlignment="1" applyProtection="1">
      <alignment horizontal="right" vertical="center" wrapText="1" readingOrder="1"/>
      <protection locked="0"/>
    </xf>
    <xf numFmtId="0" fontId="3" fillId="7" borderId="1" xfId="3" applyFont="1" applyFill="1" applyBorder="1" applyAlignment="1" applyProtection="1">
      <alignment horizontal="left" vertical="center" wrapText="1" readingOrder="1"/>
      <protection locked="0"/>
    </xf>
    <xf numFmtId="0" fontId="11" fillId="6" borderId="1" xfId="3" applyFont="1" applyFill="1" applyBorder="1" applyAlignment="1" applyProtection="1">
      <alignment horizontal="right" vertical="center" wrapText="1" readingOrder="1"/>
      <protection locked="0"/>
    </xf>
    <xf numFmtId="49" fontId="3" fillId="5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3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3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3" fillId="0" borderId="1" xfId="3" applyFont="1" applyBorder="1" applyAlignment="1" applyProtection="1">
      <alignment horizontal="center" vertical="center" wrapText="1" readingOrder="1"/>
      <protection locked="0"/>
    </xf>
    <xf numFmtId="0" fontId="16" fillId="0" borderId="1" xfId="3" applyFont="1" applyBorder="1" applyAlignment="1" applyProtection="1">
      <alignment horizontal="left" vertical="center" wrapText="1" readingOrder="1"/>
      <protection locked="0"/>
    </xf>
    <xf numFmtId="49" fontId="11" fillId="5" borderId="1" xfId="3" applyNumberFormat="1" applyFont="1" applyFill="1" applyBorder="1" applyAlignment="1" applyProtection="1">
      <alignment horizontal="left" vertical="center" wrapText="1" readingOrder="1"/>
      <protection locked="0"/>
    </xf>
    <xf numFmtId="49" fontId="11" fillId="3" borderId="1" xfId="3" applyNumberFormat="1" applyFont="1" applyFill="1" applyBorder="1" applyAlignment="1" applyProtection="1">
      <alignment horizontal="left" vertical="center" wrapText="1" readingOrder="1"/>
      <protection locked="0"/>
    </xf>
    <xf numFmtId="49" fontId="3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3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1" fillId="0" borderId="1" xfId="3" applyFont="1" applyBorder="1" applyAlignment="1" applyProtection="1">
      <alignment horizontal="center" vertical="center" wrapText="1" readingOrder="1"/>
      <protection locked="0"/>
    </xf>
    <xf numFmtId="0" fontId="14" fillId="3" borderId="1" xfId="3" applyFont="1" applyFill="1" applyBorder="1" applyAlignment="1" applyProtection="1">
      <alignment horizontal="left" vertical="center" wrapText="1" readingOrder="1"/>
      <protection locked="0"/>
    </xf>
    <xf numFmtId="1" fontId="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" fillId="0" borderId="1" xfId="3" applyFont="1" applyBorder="1" applyAlignment="1">
      <alignment horizontal="center" vertical="center" wrapText="1" readingOrder="1"/>
    </xf>
    <xf numFmtId="0" fontId="11" fillId="0" borderId="3" xfId="3" applyFont="1" applyBorder="1" applyAlignment="1" applyProtection="1">
      <alignment horizontal="center" vertical="center" wrapText="1" readingOrder="1"/>
      <protection locked="0"/>
    </xf>
    <xf numFmtId="0" fontId="14" fillId="4" borderId="1" xfId="3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Border="1" applyAlignment="1">
      <alignment horizontal="left" vertical="center" wrapText="1"/>
    </xf>
    <xf numFmtId="0" fontId="14" fillId="0" borderId="0" xfId="3" applyFont="1" applyAlignment="1">
      <alignment horizontal="left"/>
    </xf>
    <xf numFmtId="0" fontId="3" fillId="2" borderId="1" xfId="3" applyFont="1" applyFill="1" applyBorder="1" applyAlignment="1" applyProtection="1">
      <alignment horizontal="center" vertical="center" wrapText="1" readingOrder="1"/>
      <protection locked="0"/>
    </xf>
    <xf numFmtId="0" fontId="18" fillId="0" borderId="1" xfId="3" applyFont="1" applyBorder="1" applyAlignment="1" applyProtection="1">
      <alignment horizontal="left" vertical="center" wrapText="1" readingOrder="1"/>
      <protection locked="0"/>
    </xf>
    <xf numFmtId="0" fontId="18" fillId="0" borderId="1" xfId="3" applyFont="1" applyFill="1" applyBorder="1" applyAlignment="1" applyProtection="1">
      <alignment horizontal="left" vertical="center" wrapText="1" readingOrder="1"/>
      <protection locked="0"/>
    </xf>
    <xf numFmtId="0" fontId="1" fillId="0" borderId="1" xfId="3" applyFont="1" applyBorder="1" applyAlignment="1">
      <alignment horizontal="center" vertical="center" wrapText="1"/>
    </xf>
    <xf numFmtId="0" fontId="1" fillId="3" borderId="1" xfId="3" applyFont="1" applyFill="1" applyBorder="1" applyAlignment="1" applyProtection="1">
      <alignment horizontal="center" vertical="center" wrapText="1" readingOrder="1"/>
      <protection locked="0"/>
    </xf>
    <xf numFmtId="0" fontId="1" fillId="3" borderId="1" xfId="3" applyFont="1" applyFill="1" applyBorder="1" applyAlignment="1" applyProtection="1">
      <alignment horizontal="left" vertical="center" wrapText="1" readingOrder="1"/>
      <protection locked="0"/>
    </xf>
    <xf numFmtId="0" fontId="11" fillId="0" borderId="0" xfId="3" applyFont="1" applyAlignment="1" applyProtection="1">
      <alignment horizontal="center" vertical="center" wrapText="1" readingOrder="1"/>
      <protection locked="0"/>
    </xf>
    <xf numFmtId="0" fontId="3" fillId="3" borderId="1" xfId="3" applyFont="1" applyFill="1" applyBorder="1" applyAlignment="1" applyProtection="1">
      <alignment horizontal="center" vertical="center" wrapText="1" readingOrder="1"/>
      <protection locked="0"/>
    </xf>
    <xf numFmtId="0" fontId="1" fillId="4" borderId="1" xfId="3" applyFont="1" applyFill="1" applyBorder="1" applyAlignment="1" applyProtection="1">
      <alignment horizontal="left" vertical="center" wrapText="1" readingOrder="1"/>
      <protection locked="0"/>
    </xf>
    <xf numFmtId="0" fontId="1" fillId="3" borderId="1" xfId="3" applyFont="1" applyFill="1" applyBorder="1" applyAlignment="1">
      <alignment horizontal="center" vertical="center" wrapText="1"/>
    </xf>
    <xf numFmtId="0" fontId="18" fillId="0" borderId="12" xfId="3" applyFont="1" applyBorder="1" applyAlignment="1" applyProtection="1">
      <alignment horizontal="left" vertical="center" wrapText="1" readingOrder="1"/>
      <protection locked="0"/>
    </xf>
    <xf numFmtId="0" fontId="18" fillId="0" borderId="7" xfId="3" applyFont="1" applyBorder="1" applyAlignment="1" applyProtection="1">
      <alignment horizontal="left" vertical="center" wrapText="1" readingOrder="1"/>
      <protection locked="0"/>
    </xf>
    <xf numFmtId="0" fontId="18" fillId="0" borderId="14" xfId="3" applyFont="1" applyBorder="1" applyAlignment="1" applyProtection="1">
      <alignment horizontal="left" vertical="center" wrapText="1" readingOrder="1"/>
      <protection locked="0"/>
    </xf>
    <xf numFmtId="0" fontId="18" fillId="0" borderId="2" xfId="3" applyFont="1" applyBorder="1" applyAlignment="1" applyProtection="1">
      <alignment horizontal="left" vertical="center" wrapText="1" readingOrder="1"/>
      <protection locked="0"/>
    </xf>
    <xf numFmtId="0" fontId="18" fillId="0" borderId="0" xfId="3" applyFont="1" applyAlignment="1" applyProtection="1">
      <alignment horizontal="left" vertical="center" wrapText="1" readingOrder="1"/>
      <protection locked="0"/>
    </xf>
    <xf numFmtId="0" fontId="18" fillId="0" borderId="8" xfId="3" applyFont="1" applyBorder="1" applyAlignment="1" applyProtection="1">
      <alignment horizontal="left" vertical="center" wrapText="1" readingOrder="1"/>
      <protection locked="0"/>
    </xf>
    <xf numFmtId="0" fontId="3" fillId="0" borderId="4" xfId="3" applyFont="1" applyBorder="1" applyAlignment="1" applyProtection="1">
      <alignment horizontal="center" vertical="center" wrapText="1" readingOrder="1"/>
      <protection locked="0"/>
    </xf>
    <xf numFmtId="0" fontId="3" fillId="0" borderId="10" xfId="3" applyFont="1" applyBorder="1" applyAlignment="1" applyProtection="1">
      <alignment horizontal="center" vertical="center" wrapText="1" readingOrder="1"/>
      <protection locked="0"/>
    </xf>
    <xf numFmtId="0" fontId="9" fillId="3" borderId="4" xfId="3" applyFont="1" applyFill="1" applyBorder="1" applyAlignment="1" applyProtection="1">
      <alignment horizontal="center" vertical="center" wrapText="1" readingOrder="1"/>
      <protection locked="0"/>
    </xf>
    <xf numFmtId="0" fontId="9" fillId="3" borderId="11" xfId="3" applyFont="1" applyFill="1" applyBorder="1" applyAlignment="1" applyProtection="1">
      <alignment horizontal="center" vertical="center" wrapText="1" readingOrder="1"/>
      <protection locked="0"/>
    </xf>
    <xf numFmtId="0" fontId="9" fillId="3" borderId="4" xfId="3" applyFont="1" applyFill="1" applyBorder="1" applyAlignment="1">
      <alignment horizontal="center" vertical="center" wrapText="1"/>
    </xf>
    <xf numFmtId="0" fontId="9" fillId="3" borderId="11" xfId="3" applyFont="1" applyFill="1" applyBorder="1" applyAlignment="1">
      <alignment horizontal="center" vertical="center" wrapText="1"/>
    </xf>
    <xf numFmtId="49" fontId="9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" xfId="3" applyFont="1" applyFill="1" applyBorder="1" applyAlignment="1" applyProtection="1">
      <alignment horizontal="center" vertical="center" wrapText="1" readingOrder="1"/>
      <protection locked="0"/>
    </xf>
    <xf numFmtId="49" fontId="9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9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24" fillId="0" borderId="1" xfId="3" applyFont="1" applyBorder="1" applyAlignment="1" applyProtection="1">
      <alignment horizontal="left" vertical="center" wrapText="1" readingOrder="1"/>
      <protection locked="0"/>
    </xf>
    <xf numFmtId="49" fontId="9" fillId="3" borderId="4" xfId="3" applyNumberFormat="1" applyFont="1" applyFill="1" applyBorder="1" applyAlignment="1" applyProtection="1">
      <alignment horizontal="center" vertical="center" wrapText="1" readingOrder="1"/>
      <protection locked="0"/>
    </xf>
    <xf numFmtId="49" fontId="9" fillId="3" borderId="1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3" borderId="12" xfId="3" applyFont="1" applyFill="1" applyBorder="1" applyAlignment="1" applyProtection="1">
      <alignment horizontal="left" vertical="center" wrapText="1" readingOrder="1"/>
      <protection locked="0"/>
    </xf>
    <xf numFmtId="0" fontId="9" fillId="3" borderId="7" xfId="3" applyFont="1" applyFill="1" applyBorder="1" applyAlignment="1" applyProtection="1">
      <alignment horizontal="left" vertical="center" wrapText="1" readingOrder="1"/>
      <protection locked="0"/>
    </xf>
    <xf numFmtId="0" fontId="9" fillId="3" borderId="14" xfId="3" applyFont="1" applyFill="1" applyBorder="1" applyAlignment="1" applyProtection="1">
      <alignment horizontal="left" vertical="center" wrapText="1" readingOrder="1"/>
      <protection locked="0"/>
    </xf>
    <xf numFmtId="0" fontId="9" fillId="3" borderId="9" xfId="3" applyFont="1" applyFill="1" applyBorder="1" applyAlignment="1" applyProtection="1">
      <alignment horizontal="left" vertical="center" wrapText="1" readingOrder="1"/>
      <protection locked="0"/>
    </xf>
    <xf numFmtId="0" fontId="9" fillId="3" borderId="3" xfId="3" applyFont="1" applyFill="1" applyBorder="1" applyAlignment="1" applyProtection="1">
      <alignment horizontal="left" vertical="center" wrapText="1" readingOrder="1"/>
      <protection locked="0"/>
    </xf>
    <xf numFmtId="0" fontId="9" fillId="3" borderId="15" xfId="3" applyFont="1" applyFill="1" applyBorder="1" applyAlignment="1" applyProtection="1">
      <alignment horizontal="left" vertical="center" wrapText="1" readingOrder="1"/>
      <protection locked="0"/>
    </xf>
    <xf numFmtId="0" fontId="9" fillId="0" borderId="1" xfId="3" applyFont="1" applyBorder="1" applyAlignment="1" applyProtection="1">
      <alignment horizontal="center" vertical="center" wrapText="1" readingOrder="1"/>
      <protection locked="0"/>
    </xf>
    <xf numFmtId="0" fontId="24" fillId="0" borderId="12" xfId="3" applyFont="1" applyBorder="1" applyAlignment="1" applyProtection="1">
      <alignment horizontal="left" vertical="center" wrapText="1" readingOrder="1"/>
      <protection locked="0"/>
    </xf>
    <xf numFmtId="0" fontId="24" fillId="0" borderId="7" xfId="3" applyFont="1" applyBorder="1" applyAlignment="1" applyProtection="1">
      <alignment horizontal="left" vertical="center" wrapText="1" readingOrder="1"/>
      <protection locked="0"/>
    </xf>
    <xf numFmtId="0" fontId="24" fillId="0" borderId="14" xfId="3" applyFont="1" applyBorder="1" applyAlignment="1" applyProtection="1">
      <alignment horizontal="left" vertical="center" wrapText="1" readingOrder="1"/>
      <protection locked="0"/>
    </xf>
    <xf numFmtId="0" fontId="24" fillId="0" borderId="2" xfId="3" applyFont="1" applyBorder="1" applyAlignment="1" applyProtection="1">
      <alignment horizontal="left" vertical="center" wrapText="1" readingOrder="1"/>
      <protection locked="0"/>
    </xf>
    <xf numFmtId="0" fontId="24" fillId="0" borderId="0" xfId="3" applyFont="1" applyAlignment="1" applyProtection="1">
      <alignment horizontal="left" vertical="center" wrapText="1" readingOrder="1"/>
      <protection locked="0"/>
    </xf>
    <xf numFmtId="0" fontId="24" fillId="0" borderId="8" xfId="3" applyFont="1" applyBorder="1" applyAlignment="1" applyProtection="1">
      <alignment horizontal="left" vertical="center" wrapText="1" readingOrder="1"/>
      <protection locked="0"/>
    </xf>
    <xf numFmtId="0" fontId="24" fillId="0" borderId="9" xfId="3" applyFont="1" applyBorder="1" applyAlignment="1" applyProtection="1">
      <alignment horizontal="left" vertical="center" wrapText="1" readingOrder="1"/>
      <protection locked="0"/>
    </xf>
    <xf numFmtId="0" fontId="24" fillId="0" borderId="3" xfId="3" applyFont="1" applyBorder="1" applyAlignment="1" applyProtection="1">
      <alignment horizontal="left" vertical="center" wrapText="1" readingOrder="1"/>
      <protection locked="0"/>
    </xf>
    <xf numFmtId="0" fontId="24" fillId="0" borderId="15" xfId="3" applyFont="1" applyBorder="1" applyAlignment="1" applyProtection="1">
      <alignment horizontal="left" vertical="center" wrapText="1" readingOrder="1"/>
      <protection locked="0"/>
    </xf>
    <xf numFmtId="0" fontId="24" fillId="0" borderId="12" xfId="3" applyFont="1" applyFill="1" applyBorder="1" applyAlignment="1" applyProtection="1">
      <alignment horizontal="left" vertical="center" wrapText="1" readingOrder="1"/>
      <protection locked="0"/>
    </xf>
    <xf numFmtId="0" fontId="24" fillId="0" borderId="7" xfId="3" applyFont="1" applyFill="1" applyBorder="1" applyAlignment="1" applyProtection="1">
      <alignment horizontal="left" vertical="center" wrapText="1" readingOrder="1"/>
      <protection locked="0"/>
    </xf>
    <xf numFmtId="0" fontId="24" fillId="0" borderId="14" xfId="3" applyFont="1" applyFill="1" applyBorder="1" applyAlignment="1" applyProtection="1">
      <alignment horizontal="left" vertical="center" wrapText="1" readingOrder="1"/>
      <protection locked="0"/>
    </xf>
    <xf numFmtId="0" fontId="24" fillId="0" borderId="2" xfId="3" applyFont="1" applyFill="1" applyBorder="1" applyAlignment="1" applyProtection="1">
      <alignment horizontal="left" vertical="center" wrapText="1" readingOrder="1"/>
      <protection locked="0"/>
    </xf>
    <xf numFmtId="0" fontId="24" fillId="0" borderId="0" xfId="3" applyFont="1" applyFill="1" applyAlignment="1" applyProtection="1">
      <alignment horizontal="left" vertical="center" wrapText="1" readingOrder="1"/>
      <protection locked="0"/>
    </xf>
    <xf numFmtId="0" fontId="24" fillId="0" borderId="8" xfId="3" applyFont="1" applyFill="1" applyBorder="1" applyAlignment="1" applyProtection="1">
      <alignment horizontal="left" vertical="center" wrapText="1" readingOrder="1"/>
      <protection locked="0"/>
    </xf>
    <xf numFmtId="0" fontId="24" fillId="0" borderId="9" xfId="3" applyFont="1" applyFill="1" applyBorder="1" applyAlignment="1" applyProtection="1">
      <alignment horizontal="left" vertical="center" wrapText="1" readingOrder="1"/>
      <protection locked="0"/>
    </xf>
    <xf numFmtId="0" fontId="24" fillId="0" borderId="3" xfId="3" applyFont="1" applyFill="1" applyBorder="1" applyAlignment="1" applyProtection="1">
      <alignment horizontal="left" vertical="center" wrapText="1" readingOrder="1"/>
      <protection locked="0"/>
    </xf>
    <xf numFmtId="0" fontId="24" fillId="0" borderId="15" xfId="3" applyFont="1" applyFill="1" applyBorder="1" applyAlignment="1" applyProtection="1">
      <alignment horizontal="left" vertical="center" wrapText="1" readingOrder="1"/>
      <protection locked="0"/>
    </xf>
    <xf numFmtId="0" fontId="9" fillId="0" borderId="4" xfId="3" applyFont="1" applyBorder="1" applyAlignment="1" applyProtection="1">
      <alignment horizontal="center" vertical="center" wrapText="1" readingOrder="1"/>
      <protection locked="0"/>
    </xf>
    <xf numFmtId="0" fontId="9" fillId="0" borderId="10" xfId="3" applyFont="1" applyBorder="1" applyAlignment="1" applyProtection="1">
      <alignment horizontal="center" vertical="center" wrapText="1" readingOrder="1"/>
      <protection locked="0"/>
    </xf>
    <xf numFmtId="0" fontId="9" fillId="0" borderId="11" xfId="3" applyFont="1" applyBorder="1" applyAlignment="1" applyProtection="1">
      <alignment horizontal="center" vertical="center" wrapText="1" readingOrder="1"/>
      <protection locked="0"/>
    </xf>
    <xf numFmtId="0" fontId="9" fillId="4" borderId="1" xfId="3" applyFont="1" applyFill="1" applyBorder="1" applyAlignment="1" applyProtection="1">
      <alignment horizontal="left" vertical="center" wrapText="1" readingOrder="1"/>
      <protection locked="0"/>
    </xf>
    <xf numFmtId="0" fontId="9" fillId="0" borderId="0" xfId="3" applyFont="1" applyAlignment="1">
      <alignment horizontal="left"/>
    </xf>
    <xf numFmtId="0" fontId="14" fillId="6" borderId="1" xfId="3" applyFont="1" applyFill="1" applyBorder="1" applyAlignment="1" applyProtection="1">
      <alignment horizontal="center" vertical="center" wrapText="1" readingOrder="1"/>
      <protection locked="0"/>
    </xf>
    <xf numFmtId="0" fontId="19" fillId="7" borderId="1" xfId="3" applyFont="1" applyFill="1" applyBorder="1" applyAlignment="1" applyProtection="1">
      <alignment horizontal="center" vertical="center" wrapText="1" readingOrder="1"/>
      <protection locked="0"/>
    </xf>
    <xf numFmtId="0" fontId="19" fillId="0" borderId="3" xfId="3" applyFont="1" applyBorder="1" applyAlignment="1" applyProtection="1">
      <alignment horizontal="center" vertical="center" wrapText="1" readingOrder="1"/>
      <protection locked="0"/>
    </xf>
    <xf numFmtId="9" fontId="19" fillId="6" borderId="1" xfId="2" applyFont="1" applyFill="1" applyBorder="1" applyAlignment="1" applyProtection="1">
      <alignment horizontal="center" vertical="center" wrapText="1" readingOrder="1"/>
      <protection locked="0"/>
    </xf>
    <xf numFmtId="0" fontId="9" fillId="3" borderId="1" xfId="3" applyFont="1" applyFill="1" applyBorder="1" applyAlignment="1">
      <alignment horizontal="center" vertical="center" wrapText="1"/>
    </xf>
    <xf numFmtId="0" fontId="19" fillId="6" borderId="1" xfId="3" applyFont="1" applyFill="1" applyBorder="1" applyAlignment="1" applyProtection="1">
      <alignment horizontal="center" vertical="center" textRotation="90" wrapText="1" readingOrder="1"/>
      <protection locked="0"/>
    </xf>
    <xf numFmtId="0" fontId="9" fillId="3" borderId="1" xfId="3" applyFont="1" applyFill="1" applyBorder="1" applyAlignment="1" applyProtection="1">
      <alignment horizontal="left" vertical="center" wrapText="1" readingOrder="1"/>
      <protection locked="0"/>
    </xf>
    <xf numFmtId="0" fontId="10" fillId="0" borderId="0" xfId="3" applyFont="1" applyAlignment="1">
      <alignment horizontal="left" wrapText="1"/>
    </xf>
    <xf numFmtId="0" fontId="9" fillId="0" borderId="4" xfId="3" applyFont="1" applyBorder="1" applyAlignment="1">
      <alignment horizontal="center" vertical="center" wrapText="1"/>
    </xf>
    <xf numFmtId="0" fontId="9" fillId="0" borderId="10" xfId="3" applyFont="1" applyBorder="1" applyAlignment="1">
      <alignment horizontal="center" vertical="center" wrapText="1"/>
    </xf>
    <xf numFmtId="0" fontId="9" fillId="0" borderId="11" xfId="3" applyFont="1" applyBorder="1" applyAlignment="1">
      <alignment horizontal="center" vertical="center" wrapText="1"/>
    </xf>
    <xf numFmtId="9" fontId="9" fillId="9" borderId="1" xfId="4" applyFont="1" applyFill="1" applyBorder="1" applyAlignment="1">
      <alignment horizontal="center" wrapText="1"/>
    </xf>
    <xf numFmtId="0" fontId="10" fillId="0" borderId="0" xfId="0" applyFont="1" applyAlignment="1">
      <alignment horizontal="left" vertical="top" wrapText="1"/>
    </xf>
    <xf numFmtId="0" fontId="10" fillId="0" borderId="7" xfId="0" applyFont="1" applyBorder="1" applyAlignment="1">
      <alignment horizontal="left" vertical="center" wrapText="1"/>
    </xf>
    <xf numFmtId="0" fontId="19" fillId="0" borderId="0" xfId="3" applyFont="1" applyAlignment="1">
      <alignment horizontal="left"/>
    </xf>
    <xf numFmtId="0" fontId="10" fillId="6" borderId="1" xfId="3" applyFont="1" applyFill="1" applyBorder="1" applyAlignment="1" applyProtection="1">
      <alignment horizontal="right" vertical="center" wrapText="1" readingOrder="1"/>
      <protection locked="0"/>
    </xf>
    <xf numFmtId="0" fontId="19" fillId="6" borderId="1" xfId="3" applyFont="1" applyFill="1" applyBorder="1" applyAlignment="1" applyProtection="1">
      <alignment horizontal="right" vertical="center" wrapText="1" readingOrder="1"/>
      <protection locked="0"/>
    </xf>
    <xf numFmtId="0" fontId="9" fillId="7" borderId="1" xfId="3" applyFont="1" applyFill="1" applyBorder="1" applyAlignment="1" applyProtection="1">
      <alignment horizontal="left" vertical="center" wrapText="1" readingOrder="1"/>
      <protection locked="0"/>
    </xf>
    <xf numFmtId="49" fontId="9" fillId="4" borderId="4" xfId="3" applyNumberFormat="1" applyFont="1" applyFill="1" applyBorder="1" applyAlignment="1" applyProtection="1">
      <alignment horizontal="center" vertical="center" wrapText="1" readingOrder="1"/>
      <protection locked="0"/>
    </xf>
    <xf numFmtId="49" fontId="9" fillId="4" borderId="11" xfId="3" applyNumberFormat="1" applyFont="1" applyFill="1" applyBorder="1" applyAlignment="1" applyProtection="1">
      <alignment horizontal="center" vertical="center" wrapText="1" readingOrder="1"/>
      <protection locked="0"/>
    </xf>
    <xf numFmtId="49" fontId="9" fillId="3" borderId="1" xfId="3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Border="1" applyAlignment="1">
      <alignment horizontal="center" vertical="center" wrapText="1"/>
    </xf>
    <xf numFmtId="1" fontId="9" fillId="0" borderId="1" xfId="3" applyNumberFormat="1" applyFont="1" applyBorder="1" applyAlignment="1" applyProtection="1">
      <alignment horizontal="center" vertical="center" wrapText="1" readingOrder="1"/>
      <protection locked="0"/>
    </xf>
    <xf numFmtId="1" fontId="9" fillId="0" borderId="4" xfId="3" applyNumberFormat="1" applyFont="1" applyBorder="1" applyAlignment="1" applyProtection="1">
      <alignment horizontal="center" vertical="center" wrapText="1" readingOrder="1"/>
      <protection locked="0"/>
    </xf>
    <xf numFmtId="1" fontId="9" fillId="0" borderId="11" xfId="3" applyNumberFormat="1" applyFont="1" applyBorder="1" applyAlignment="1" applyProtection="1">
      <alignment horizontal="center" vertical="center" wrapText="1" readingOrder="1"/>
      <protection locked="0"/>
    </xf>
    <xf numFmtId="49" fontId="11" fillId="4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11" fillId="2" borderId="1" xfId="3" applyNumberFormat="1" applyFont="1" applyFill="1" applyBorder="1" applyAlignment="1" applyProtection="1">
      <alignment horizontal="center" vertical="center" wrapText="1" readingOrder="1"/>
      <protection locked="0"/>
    </xf>
    <xf numFmtId="49" fontId="14" fillId="0" borderId="1" xfId="3" applyNumberFormat="1" applyFont="1" applyBorder="1" applyAlignment="1" applyProtection="1">
      <alignment horizontal="center" vertical="center" wrapText="1" readingOrder="1"/>
      <protection locked="0"/>
    </xf>
    <xf numFmtId="49" fontId="11" fillId="0" borderId="1" xfId="3" applyNumberFormat="1" applyFont="1" applyBorder="1" applyAlignment="1" applyProtection="1">
      <alignment horizontal="center" vertical="center" wrapText="1" readingOrder="1"/>
      <protection locked="0"/>
    </xf>
    <xf numFmtId="0" fontId="14" fillId="0" borderId="1" xfId="3" applyFont="1" applyBorder="1" applyAlignment="1" applyProtection="1">
      <alignment horizontal="center" vertical="center" wrapText="1" readingOrder="1"/>
      <protection locked="0"/>
    </xf>
    <xf numFmtId="0" fontId="11" fillId="0" borderId="1" xfId="3" applyFont="1" applyBorder="1" applyAlignment="1" applyProtection="1">
      <alignment horizontal="center" vertical="center" wrapText="1" readingOrder="1"/>
      <protection locked="0"/>
    </xf>
    <xf numFmtId="0" fontId="11" fillId="3" borderId="1" xfId="3" applyFont="1" applyFill="1" applyBorder="1" applyAlignment="1" applyProtection="1">
      <alignment horizontal="center" vertical="center" wrapText="1" readingOrder="1"/>
      <protection locked="0"/>
    </xf>
    <xf numFmtId="0" fontId="14" fillId="3" borderId="1" xfId="3" applyFont="1" applyFill="1" applyBorder="1" applyAlignment="1">
      <alignment horizontal="center" vertical="center" wrapText="1"/>
    </xf>
    <xf numFmtId="0" fontId="14" fillId="3" borderId="1" xfId="3" applyFont="1" applyFill="1" applyBorder="1" applyAlignment="1" applyProtection="1">
      <alignment horizontal="center" vertical="center" wrapText="1" readingOrder="1"/>
      <protection locked="0"/>
    </xf>
    <xf numFmtId="0" fontId="6" fillId="0" borderId="0" xfId="3" applyFont="1" applyAlignment="1">
      <alignment horizontal="left" wrapText="1"/>
    </xf>
    <xf numFmtId="0" fontId="7" fillId="0" borderId="0" xfId="3" applyFont="1" applyAlignment="1">
      <alignment horizontal="left" wrapText="1"/>
    </xf>
    <xf numFmtId="0" fontId="7" fillId="0" borderId="2" xfId="3" applyFont="1" applyBorder="1" applyAlignment="1">
      <alignment horizontal="center" wrapText="1"/>
    </xf>
    <xf numFmtId="0" fontId="7" fillId="0" borderId="0" xfId="3" applyFont="1" applyAlignment="1">
      <alignment horizontal="center" wrapText="1"/>
    </xf>
    <xf numFmtId="0" fontId="9" fillId="5" borderId="1" xfId="3" applyFont="1" applyFill="1" applyBorder="1" applyAlignment="1" applyProtection="1">
      <alignment horizontal="left" vertical="center" wrapText="1" readingOrder="1"/>
      <protection locked="0"/>
    </xf>
    <xf numFmtId="0" fontId="9" fillId="7" borderId="1" xfId="0" applyFont="1" applyFill="1" applyBorder="1" applyAlignment="1" applyProtection="1">
      <alignment horizontal="left" vertical="center" wrapText="1" readingOrder="1"/>
      <protection locked="0"/>
    </xf>
    <xf numFmtId="49" fontId="9" fillId="5" borderId="4" xfId="3" applyNumberFormat="1" applyFont="1" applyFill="1" applyBorder="1" applyAlignment="1">
      <alignment horizontal="center" vertical="center" wrapText="1"/>
    </xf>
    <xf numFmtId="49" fontId="9" fillId="5" borderId="10" xfId="3" applyNumberFormat="1" applyFont="1" applyFill="1" applyBorder="1" applyAlignment="1">
      <alignment horizontal="center" vertical="center" wrapText="1"/>
    </xf>
    <xf numFmtId="49" fontId="9" fillId="5" borderId="11" xfId="3" applyNumberFormat="1" applyFont="1" applyFill="1" applyBorder="1" applyAlignment="1">
      <alignment horizontal="center" vertical="center" wrapText="1"/>
    </xf>
    <xf numFmtId="49" fontId="9" fillId="0" borderId="4" xfId="3" applyNumberFormat="1" applyFont="1" applyBorder="1" applyAlignment="1">
      <alignment horizontal="center" vertical="center" wrapText="1"/>
    </xf>
    <xf numFmtId="49" fontId="9" fillId="0" borderId="10" xfId="3" applyNumberFormat="1" applyFont="1" applyBorder="1" applyAlignment="1">
      <alignment horizontal="center" vertical="center" wrapText="1"/>
    </xf>
    <xf numFmtId="49" fontId="9" fillId="0" borderId="11" xfId="3" applyNumberFormat="1" applyFont="1" applyBorder="1" applyAlignment="1">
      <alignment horizontal="center" vertical="center" wrapText="1"/>
    </xf>
    <xf numFmtId="49" fontId="9" fillId="5" borderId="1" xfId="3" applyNumberFormat="1" applyFont="1" applyFill="1" applyBorder="1" applyAlignment="1">
      <alignment horizontal="center" vertical="center" wrapText="1"/>
    </xf>
    <xf numFmtId="169" fontId="9" fillId="3" borderId="4" xfId="3" applyNumberFormat="1" applyFont="1" applyFill="1" applyBorder="1" applyAlignment="1">
      <alignment horizontal="center" vertical="center" wrapText="1"/>
    </xf>
    <xf numFmtId="169" fontId="9" fillId="3" borderId="11" xfId="3" applyNumberFormat="1" applyFont="1" applyFill="1" applyBorder="1" applyAlignment="1">
      <alignment horizontal="center" vertical="center" wrapText="1"/>
    </xf>
    <xf numFmtId="0" fontId="19" fillId="0" borderId="1" xfId="3" applyFont="1" applyBorder="1" applyAlignment="1" applyProtection="1">
      <alignment horizontal="center" vertical="center" wrapText="1" readingOrder="1"/>
      <protection locked="0"/>
    </xf>
    <xf numFmtId="0" fontId="9" fillId="2" borderId="6" xfId="3" applyFont="1" applyFill="1" applyBorder="1" applyAlignment="1" applyProtection="1">
      <alignment horizontal="left" vertical="center" wrapText="1" readingOrder="1"/>
      <protection locked="0"/>
    </xf>
    <xf numFmtId="0" fontId="9" fillId="2" borderId="5" xfId="3" applyFont="1" applyFill="1" applyBorder="1" applyAlignment="1" applyProtection="1">
      <alignment horizontal="left" vertical="center" wrapText="1" readingOrder="1"/>
      <protection locked="0"/>
    </xf>
    <xf numFmtId="0" fontId="9" fillId="2" borderId="13" xfId="3" applyFont="1" applyFill="1" applyBorder="1" applyAlignment="1" applyProtection="1">
      <alignment horizontal="left" vertical="center" wrapText="1" readingOrder="1"/>
      <protection locked="0"/>
    </xf>
    <xf numFmtId="49" fontId="9" fillId="3" borderId="10" xfId="3" applyNumberFormat="1" applyFont="1" applyFill="1" applyBorder="1" applyAlignment="1" applyProtection="1">
      <alignment horizontal="center" vertical="center" wrapText="1" readingOrder="1"/>
      <protection locked="0"/>
    </xf>
    <xf numFmtId="0" fontId="18" fillId="0" borderId="6" xfId="0" applyFont="1" applyBorder="1" applyAlignment="1" applyProtection="1">
      <alignment horizontal="left" vertical="center" wrapText="1" readingOrder="1"/>
      <protection locked="0"/>
    </xf>
    <xf numFmtId="0" fontId="18" fillId="0" borderId="5" xfId="0" applyFont="1" applyBorder="1" applyAlignment="1" applyProtection="1">
      <alignment horizontal="left" vertical="center" wrapText="1" readingOrder="1"/>
      <protection locked="0"/>
    </xf>
    <xf numFmtId="0" fontId="18" fillId="0" borderId="13" xfId="0" applyFont="1" applyBorder="1" applyAlignment="1" applyProtection="1">
      <alignment horizontal="left" vertical="center" wrapText="1" readingOrder="1"/>
      <protection locked="0"/>
    </xf>
    <xf numFmtId="49" fontId="11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16" fillId="0" borderId="6" xfId="0" applyFont="1" applyBorder="1" applyAlignment="1" applyProtection="1">
      <alignment horizontal="left" vertical="center" wrapText="1" readingOrder="1"/>
      <protection locked="0"/>
    </xf>
    <xf numFmtId="0" fontId="16" fillId="0" borderId="5" xfId="0" applyFont="1" applyBorder="1" applyAlignment="1" applyProtection="1">
      <alignment horizontal="left" vertical="center" wrapText="1" readingOrder="1"/>
      <protection locked="0"/>
    </xf>
    <xf numFmtId="0" fontId="16" fillId="0" borderId="13" xfId="0" applyFont="1" applyBorder="1" applyAlignment="1" applyProtection="1">
      <alignment horizontal="left" vertical="center" wrapText="1" readingOrder="1"/>
      <protection locked="0"/>
    </xf>
    <xf numFmtId="0" fontId="1" fillId="4" borderId="6" xfId="0" applyFont="1" applyFill="1" applyBorder="1" applyAlignment="1" applyProtection="1">
      <alignment horizontal="left" vertical="center" wrapText="1" readingOrder="1"/>
      <protection locked="0"/>
    </xf>
    <xf numFmtId="0" fontId="1" fillId="4" borderId="5" xfId="0" applyFont="1" applyFill="1" applyBorder="1" applyAlignment="1" applyProtection="1">
      <alignment horizontal="left" vertical="center" wrapText="1" readingOrder="1"/>
      <protection locked="0"/>
    </xf>
    <xf numFmtId="0" fontId="1" fillId="4" borderId="7" xfId="0" applyFont="1" applyFill="1" applyBorder="1" applyAlignment="1" applyProtection="1">
      <alignment horizontal="left" vertical="center" wrapText="1" readingOrder="1"/>
      <protection locked="0"/>
    </xf>
    <xf numFmtId="0" fontId="1" fillId="4" borderId="13" xfId="0" applyFont="1" applyFill="1" applyBorder="1" applyAlignment="1" applyProtection="1">
      <alignment horizontal="left" vertical="center" wrapText="1" readingOrder="1"/>
      <protection locked="0"/>
    </xf>
    <xf numFmtId="0" fontId="11" fillId="0" borderId="1" xfId="0" applyFont="1" applyBorder="1" applyAlignment="1" applyProtection="1">
      <alignment horizontal="center" vertical="center" wrapText="1" readingOrder="1"/>
      <protection locked="0"/>
    </xf>
    <xf numFmtId="0" fontId="11" fillId="0" borderId="3" xfId="0" applyFont="1" applyBorder="1" applyAlignment="1" applyProtection="1">
      <alignment horizontal="center" vertical="center" wrapText="1" readingOrder="1"/>
      <protection locked="0"/>
    </xf>
    <xf numFmtId="0" fontId="1" fillId="3" borderId="1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</cellXfs>
  <cellStyles count="6">
    <cellStyle name="Įprastas" xfId="0" builtinId="0"/>
    <cellStyle name="Įprastas 2" xfId="3"/>
    <cellStyle name="Įprastas 2 2" xfId="5"/>
    <cellStyle name="Normal 2" xfId="1"/>
    <cellStyle name="Procentai" xfId="2" builtinId="5"/>
    <cellStyle name="Procentai 2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C0C0C0"/>
      <rgbColor rgb="00DCDCDC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73"/>
  <sheetViews>
    <sheetView tabSelected="1" zoomScale="70" zoomScaleNormal="70" zoomScaleSheetLayoutView="100" workbookViewId="0">
      <pane ySplit="13" topLeftCell="A14" activePane="bottomLeft" state="frozen"/>
      <selection pane="bottomLeft" activeCell="J23" sqref="J23:J28"/>
    </sheetView>
  </sheetViews>
  <sheetFormatPr defaultColWidth="9.140625" defaultRowHeight="12.75" x14ac:dyDescent="0.2"/>
  <cols>
    <col min="1" max="2" width="5" style="87" customWidth="1"/>
    <col min="3" max="4" width="5" style="1" customWidth="1"/>
    <col min="5" max="5" width="17.7109375" style="1" customWidth="1"/>
    <col min="6" max="6" width="13" style="1" customWidth="1"/>
    <col min="7" max="7" width="13" style="3" customWidth="1"/>
    <col min="8" max="9" width="13" style="1" customWidth="1"/>
    <col min="10" max="11" width="24.7109375" style="1" customWidth="1"/>
    <col min="12" max="12" width="49.7109375" style="1" customWidth="1"/>
    <col min="13" max="16" width="6.28515625" style="1" customWidth="1"/>
    <col min="17" max="17" width="32.7109375" style="1" customWidth="1"/>
    <col min="18" max="18" width="11.7109375" style="88" hidden="1" customWidth="1"/>
    <col min="19" max="19" width="9.140625" style="1" customWidth="1"/>
    <col min="20" max="20" width="9.140625" style="1"/>
    <col min="21" max="21" width="32.140625" style="1" customWidth="1"/>
    <col min="22" max="16384" width="9.140625" style="1"/>
  </cols>
  <sheetData>
    <row r="1" spans="1:18" x14ac:dyDescent="0.2">
      <c r="Q1" s="175" t="s">
        <v>302</v>
      </c>
    </row>
    <row r="2" spans="1:18" x14ac:dyDescent="0.2">
      <c r="Q2" s="175" t="s">
        <v>788</v>
      </c>
    </row>
    <row r="3" spans="1:18" x14ac:dyDescent="0.2">
      <c r="Q3" s="175" t="s">
        <v>1005</v>
      </c>
    </row>
    <row r="4" spans="1:18" hidden="1" x14ac:dyDescent="0.2">
      <c r="Q4" s="175" t="s">
        <v>915</v>
      </c>
    </row>
    <row r="5" spans="1:18" hidden="1" x14ac:dyDescent="0.2">
      <c r="Q5" s="175" t="s">
        <v>907</v>
      </c>
    </row>
    <row r="6" spans="1:18" x14ac:dyDescent="0.2">
      <c r="H6" s="6"/>
      <c r="Q6" s="176" t="s">
        <v>789</v>
      </c>
    </row>
    <row r="7" spans="1:18" ht="13.5" customHeight="1" x14ac:dyDescent="0.2">
      <c r="H7" s="6"/>
      <c r="Q7" s="176" t="s">
        <v>916</v>
      </c>
    </row>
    <row r="8" spans="1:18" x14ac:dyDescent="0.2">
      <c r="H8" s="6"/>
      <c r="Q8" s="176" t="s">
        <v>245</v>
      </c>
    </row>
    <row r="9" spans="1:18" x14ac:dyDescent="0.2">
      <c r="H9" s="6"/>
    </row>
    <row r="10" spans="1:18" x14ac:dyDescent="0.2">
      <c r="A10" s="440" t="s">
        <v>914</v>
      </c>
      <c r="B10" s="440"/>
      <c r="C10" s="440"/>
      <c r="D10" s="440"/>
      <c r="E10" s="440"/>
      <c r="F10" s="440"/>
      <c r="G10" s="440"/>
      <c r="H10" s="440"/>
      <c r="I10" s="440"/>
      <c r="J10" s="440"/>
      <c r="K10" s="440"/>
      <c r="L10" s="440"/>
      <c r="M10" s="440"/>
      <c r="N10" s="440"/>
      <c r="O10" s="440"/>
      <c r="P10" s="440"/>
      <c r="Q10" s="89" t="s">
        <v>244</v>
      </c>
      <c r="R10" s="90"/>
    </row>
    <row r="11" spans="1:18" ht="26.25" customHeight="1" x14ac:dyDescent="0.2">
      <c r="A11" s="418" t="s">
        <v>233</v>
      </c>
      <c r="B11" s="418"/>
      <c r="C11" s="418"/>
      <c r="D11" s="443" t="s">
        <v>214</v>
      </c>
      <c r="E11" s="418" t="s">
        <v>796</v>
      </c>
      <c r="F11" s="418" t="s">
        <v>927</v>
      </c>
      <c r="G11" s="442" t="s">
        <v>917</v>
      </c>
      <c r="H11" s="418" t="s">
        <v>918</v>
      </c>
      <c r="I11" s="418" t="s">
        <v>919</v>
      </c>
      <c r="J11" s="418" t="s">
        <v>793</v>
      </c>
      <c r="K11" s="417" t="s">
        <v>8</v>
      </c>
      <c r="L11" s="417" t="s">
        <v>215</v>
      </c>
      <c r="M11" s="417"/>
      <c r="N11" s="417" t="s">
        <v>216</v>
      </c>
      <c r="O11" s="417"/>
      <c r="P11" s="417"/>
      <c r="Q11" s="417" t="s">
        <v>794</v>
      </c>
      <c r="R11" s="441" t="s">
        <v>246</v>
      </c>
    </row>
    <row r="12" spans="1:18" ht="82.5" customHeight="1" x14ac:dyDescent="0.2">
      <c r="A12" s="68" t="s">
        <v>234</v>
      </c>
      <c r="B12" s="68" t="s">
        <v>235</v>
      </c>
      <c r="C12" s="68" t="s">
        <v>236</v>
      </c>
      <c r="D12" s="443"/>
      <c r="E12" s="418"/>
      <c r="F12" s="418"/>
      <c r="G12" s="442"/>
      <c r="H12" s="418"/>
      <c r="I12" s="418"/>
      <c r="J12" s="418"/>
      <c r="K12" s="417"/>
      <c r="L12" s="72" t="s">
        <v>1</v>
      </c>
      <c r="M12" s="72" t="s">
        <v>9</v>
      </c>
      <c r="N12" s="73">
        <v>2026</v>
      </c>
      <c r="O12" s="73">
        <v>2027</v>
      </c>
      <c r="P12" s="73">
        <v>2028</v>
      </c>
      <c r="Q12" s="417"/>
      <c r="R12" s="441"/>
    </row>
    <row r="13" spans="1:18" x14ac:dyDescent="0.2">
      <c r="A13" s="47">
        <v>1</v>
      </c>
      <c r="B13" s="47">
        <v>2</v>
      </c>
      <c r="C13" s="47">
        <v>3</v>
      </c>
      <c r="D13" s="47">
        <v>4</v>
      </c>
      <c r="E13" s="47">
        <v>5</v>
      </c>
      <c r="F13" s="47">
        <v>6</v>
      </c>
      <c r="G13" s="48">
        <v>7</v>
      </c>
      <c r="H13" s="47">
        <v>8</v>
      </c>
      <c r="I13" s="47">
        <v>9</v>
      </c>
      <c r="J13" s="47">
        <v>10</v>
      </c>
      <c r="K13" s="72">
        <v>11</v>
      </c>
      <c r="L13" s="72">
        <v>12</v>
      </c>
      <c r="M13" s="72">
        <v>13</v>
      </c>
      <c r="N13" s="72">
        <v>14</v>
      </c>
      <c r="O13" s="72">
        <v>15</v>
      </c>
      <c r="P13" s="72">
        <v>16</v>
      </c>
      <c r="Q13" s="72">
        <v>17</v>
      </c>
      <c r="R13" s="8">
        <v>18</v>
      </c>
    </row>
    <row r="14" spans="1:18" s="175" customFormat="1" x14ac:dyDescent="0.2">
      <c r="A14" s="131" t="s">
        <v>0</v>
      </c>
      <c r="B14" s="91"/>
      <c r="C14" s="91"/>
      <c r="D14" s="91"/>
      <c r="E14" s="410" t="s">
        <v>109</v>
      </c>
      <c r="F14" s="410"/>
      <c r="G14" s="410"/>
      <c r="H14" s="410"/>
      <c r="I14" s="410"/>
      <c r="J14" s="410"/>
      <c r="K14" s="410"/>
      <c r="L14" s="410"/>
      <c r="M14" s="410"/>
      <c r="N14" s="410"/>
      <c r="O14" s="410"/>
      <c r="P14" s="410"/>
      <c r="Q14" s="410"/>
      <c r="R14" s="202"/>
    </row>
    <row r="15" spans="1:18" s="175" customFormat="1" ht="26.45" customHeight="1" x14ac:dyDescent="0.2">
      <c r="A15" s="434" t="s">
        <v>0</v>
      </c>
      <c r="B15" s="437" t="s">
        <v>0</v>
      </c>
      <c r="C15" s="422"/>
      <c r="D15" s="422" t="s">
        <v>31</v>
      </c>
      <c r="E15" s="425" t="s">
        <v>110</v>
      </c>
      <c r="F15" s="426"/>
      <c r="G15" s="426"/>
      <c r="H15" s="426"/>
      <c r="I15" s="427"/>
      <c r="J15" s="422" t="s">
        <v>849</v>
      </c>
      <c r="K15" s="92" t="s">
        <v>106</v>
      </c>
      <c r="L15" s="134" t="s">
        <v>153</v>
      </c>
      <c r="M15" s="92" t="s">
        <v>11</v>
      </c>
      <c r="N15" s="130">
        <v>100</v>
      </c>
      <c r="O15" s="130">
        <v>100</v>
      </c>
      <c r="P15" s="130">
        <v>100</v>
      </c>
      <c r="Q15" s="419" t="s">
        <v>1012</v>
      </c>
      <c r="R15" s="202"/>
    </row>
    <row r="16" spans="1:18" s="175" customFormat="1" ht="25.5" x14ac:dyDescent="0.2">
      <c r="A16" s="435"/>
      <c r="B16" s="438"/>
      <c r="C16" s="423"/>
      <c r="D16" s="423"/>
      <c r="E16" s="428"/>
      <c r="F16" s="429"/>
      <c r="G16" s="429"/>
      <c r="H16" s="429"/>
      <c r="I16" s="430"/>
      <c r="J16" s="423"/>
      <c r="K16" s="92" t="s">
        <v>29</v>
      </c>
      <c r="L16" s="92" t="s">
        <v>164</v>
      </c>
      <c r="M16" s="92" t="s">
        <v>11</v>
      </c>
      <c r="N16" s="130">
        <v>90</v>
      </c>
      <c r="O16" s="130">
        <v>90</v>
      </c>
      <c r="P16" s="130">
        <v>91</v>
      </c>
      <c r="Q16" s="420"/>
      <c r="R16" s="202"/>
    </row>
    <row r="17" spans="1:25" s="175" customFormat="1" ht="25.5" x14ac:dyDescent="0.2">
      <c r="A17" s="435"/>
      <c r="B17" s="438"/>
      <c r="C17" s="423"/>
      <c r="D17" s="423"/>
      <c r="E17" s="428"/>
      <c r="F17" s="429"/>
      <c r="G17" s="429"/>
      <c r="H17" s="429"/>
      <c r="I17" s="430"/>
      <c r="J17" s="423"/>
      <c r="K17" s="92" t="s">
        <v>30</v>
      </c>
      <c r="L17" s="92" t="s">
        <v>152</v>
      </c>
      <c r="M17" s="92" t="s">
        <v>12</v>
      </c>
      <c r="N17" s="130">
        <v>11.85</v>
      </c>
      <c r="O17" s="130">
        <v>11.9</v>
      </c>
      <c r="P17" s="130">
        <v>11.9</v>
      </c>
      <c r="Q17" s="420"/>
      <c r="R17" s="202"/>
    </row>
    <row r="18" spans="1:25" s="175" customFormat="1" ht="38.25" x14ac:dyDescent="0.2">
      <c r="A18" s="435"/>
      <c r="B18" s="438"/>
      <c r="C18" s="423"/>
      <c r="D18" s="423"/>
      <c r="E18" s="428"/>
      <c r="F18" s="429"/>
      <c r="G18" s="429"/>
      <c r="H18" s="429"/>
      <c r="I18" s="430"/>
      <c r="J18" s="423"/>
      <c r="K18" s="92" t="s">
        <v>107</v>
      </c>
      <c r="L18" s="134" t="s">
        <v>151</v>
      </c>
      <c r="M18" s="92" t="s">
        <v>11</v>
      </c>
      <c r="N18" s="130">
        <v>44</v>
      </c>
      <c r="O18" s="130">
        <v>45</v>
      </c>
      <c r="P18" s="130">
        <v>46</v>
      </c>
      <c r="Q18" s="420"/>
      <c r="R18" s="202"/>
    </row>
    <row r="19" spans="1:25" s="175" customFormat="1" ht="25.5" x14ac:dyDescent="0.2">
      <c r="A19" s="435"/>
      <c r="B19" s="438"/>
      <c r="C19" s="423"/>
      <c r="D19" s="423"/>
      <c r="E19" s="428"/>
      <c r="F19" s="429"/>
      <c r="G19" s="429"/>
      <c r="H19" s="429"/>
      <c r="I19" s="430"/>
      <c r="J19" s="423"/>
      <c r="K19" s="92" t="s">
        <v>108</v>
      </c>
      <c r="L19" s="92" t="s">
        <v>150</v>
      </c>
      <c r="M19" s="92" t="s">
        <v>11</v>
      </c>
      <c r="N19" s="130">
        <v>62</v>
      </c>
      <c r="O19" s="130">
        <v>64</v>
      </c>
      <c r="P19" s="130">
        <v>64</v>
      </c>
      <c r="Q19" s="420"/>
      <c r="R19" s="202"/>
    </row>
    <row r="20" spans="1:25" s="175" customFormat="1" ht="25.5" x14ac:dyDescent="0.2">
      <c r="A20" s="435"/>
      <c r="B20" s="438"/>
      <c r="C20" s="423"/>
      <c r="D20" s="423"/>
      <c r="E20" s="428"/>
      <c r="F20" s="429"/>
      <c r="G20" s="429"/>
      <c r="H20" s="429"/>
      <c r="I20" s="430"/>
      <c r="J20" s="423"/>
      <c r="K20" s="92" t="s">
        <v>111</v>
      </c>
      <c r="L20" s="92" t="s">
        <v>83</v>
      </c>
      <c r="M20" s="92" t="s">
        <v>11</v>
      </c>
      <c r="N20" s="130">
        <v>71</v>
      </c>
      <c r="O20" s="130">
        <v>72</v>
      </c>
      <c r="P20" s="130">
        <v>72</v>
      </c>
      <c r="Q20" s="420"/>
      <c r="R20" s="202"/>
    </row>
    <row r="21" spans="1:25" s="175" customFormat="1" x14ac:dyDescent="0.2">
      <c r="A21" s="435"/>
      <c r="B21" s="438"/>
      <c r="C21" s="423"/>
      <c r="D21" s="423"/>
      <c r="E21" s="428"/>
      <c r="F21" s="429"/>
      <c r="G21" s="429"/>
      <c r="H21" s="429"/>
      <c r="I21" s="430"/>
      <c r="J21" s="423"/>
      <c r="K21" s="92" t="s">
        <v>112</v>
      </c>
      <c r="L21" s="92" t="s">
        <v>117</v>
      </c>
      <c r="M21" s="92" t="s">
        <v>11</v>
      </c>
      <c r="N21" s="130">
        <v>95</v>
      </c>
      <c r="O21" s="130">
        <v>95</v>
      </c>
      <c r="P21" s="130">
        <v>95</v>
      </c>
      <c r="Q21" s="420"/>
      <c r="R21" s="202"/>
    </row>
    <row r="22" spans="1:25" s="175" customFormat="1" x14ac:dyDescent="0.2">
      <c r="A22" s="436"/>
      <c r="B22" s="439"/>
      <c r="C22" s="424"/>
      <c r="D22" s="424"/>
      <c r="E22" s="431"/>
      <c r="F22" s="432"/>
      <c r="G22" s="432"/>
      <c r="H22" s="432"/>
      <c r="I22" s="433"/>
      <c r="J22" s="424"/>
      <c r="K22" s="92" t="s">
        <v>881</v>
      </c>
      <c r="L22" s="245" t="s">
        <v>125</v>
      </c>
      <c r="M22" s="245" t="s">
        <v>12</v>
      </c>
      <c r="N22" s="246">
        <v>37</v>
      </c>
      <c r="O22" s="246">
        <v>38</v>
      </c>
      <c r="P22" s="246">
        <v>38</v>
      </c>
      <c r="Q22" s="421"/>
      <c r="R22" s="202"/>
    </row>
    <row r="23" spans="1:25" s="175" customFormat="1" ht="25.5" x14ac:dyDescent="0.2">
      <c r="A23" s="393" t="s">
        <v>0</v>
      </c>
      <c r="B23" s="394" t="s">
        <v>0</v>
      </c>
      <c r="C23" s="399" t="s">
        <v>0</v>
      </c>
      <c r="D23" s="399" t="s">
        <v>21</v>
      </c>
      <c r="E23" s="401" t="s">
        <v>32</v>
      </c>
      <c r="F23" s="401"/>
      <c r="G23" s="401"/>
      <c r="H23" s="401"/>
      <c r="I23" s="401"/>
      <c r="J23" s="399" t="s">
        <v>19</v>
      </c>
      <c r="K23" s="69" t="s">
        <v>172</v>
      </c>
      <c r="L23" s="69" t="s">
        <v>157</v>
      </c>
      <c r="M23" s="69" t="s">
        <v>11</v>
      </c>
      <c r="N23" s="203">
        <v>20.3</v>
      </c>
      <c r="O23" s="203">
        <v>20.5</v>
      </c>
      <c r="P23" s="203">
        <v>20.7</v>
      </c>
      <c r="Q23" s="203" t="s">
        <v>19</v>
      </c>
      <c r="R23" s="202"/>
      <c r="S23" s="204"/>
    </row>
    <row r="24" spans="1:25" s="175" customFormat="1" ht="25.5" x14ac:dyDescent="0.2">
      <c r="A24" s="393"/>
      <c r="B24" s="394"/>
      <c r="C24" s="399"/>
      <c r="D24" s="399"/>
      <c r="E24" s="401"/>
      <c r="F24" s="401"/>
      <c r="G24" s="401"/>
      <c r="H24" s="401"/>
      <c r="I24" s="401"/>
      <c r="J24" s="399"/>
      <c r="K24" s="69" t="s">
        <v>173</v>
      </c>
      <c r="L24" s="67" t="s">
        <v>33</v>
      </c>
      <c r="M24" s="69" t="s">
        <v>11</v>
      </c>
      <c r="N24" s="203">
        <v>4.5</v>
      </c>
      <c r="O24" s="203">
        <v>4</v>
      </c>
      <c r="P24" s="203">
        <v>3.5</v>
      </c>
      <c r="Q24" s="203" t="s">
        <v>19</v>
      </c>
      <c r="R24" s="202"/>
      <c r="S24" s="204"/>
    </row>
    <row r="25" spans="1:25" s="175" customFormat="1" x14ac:dyDescent="0.2">
      <c r="A25" s="393"/>
      <c r="B25" s="394"/>
      <c r="C25" s="399"/>
      <c r="D25" s="399"/>
      <c r="E25" s="401"/>
      <c r="F25" s="401"/>
      <c r="G25" s="401"/>
      <c r="H25" s="401"/>
      <c r="I25" s="401"/>
      <c r="J25" s="399"/>
      <c r="K25" s="69" t="s">
        <v>81</v>
      </c>
      <c r="L25" s="67" t="s">
        <v>154</v>
      </c>
      <c r="M25" s="69" t="s">
        <v>11</v>
      </c>
      <c r="N25" s="203">
        <v>100</v>
      </c>
      <c r="O25" s="203">
        <v>100</v>
      </c>
      <c r="P25" s="203">
        <v>100</v>
      </c>
      <c r="Q25" s="203" t="s">
        <v>19</v>
      </c>
      <c r="R25" s="202"/>
      <c r="S25" s="204"/>
    </row>
    <row r="26" spans="1:25" s="175" customFormat="1" ht="25.5" x14ac:dyDescent="0.2">
      <c r="A26" s="393"/>
      <c r="B26" s="394"/>
      <c r="C26" s="399"/>
      <c r="D26" s="399"/>
      <c r="E26" s="401"/>
      <c r="F26" s="401"/>
      <c r="G26" s="401"/>
      <c r="H26" s="401"/>
      <c r="I26" s="401"/>
      <c r="J26" s="399"/>
      <c r="K26" s="69" t="s">
        <v>79</v>
      </c>
      <c r="L26" s="67" t="s">
        <v>155</v>
      </c>
      <c r="M26" s="69" t="s">
        <v>94</v>
      </c>
      <c r="N26" s="203">
        <v>3.9</v>
      </c>
      <c r="O26" s="203">
        <v>3.9</v>
      </c>
      <c r="P26" s="203">
        <v>3.7</v>
      </c>
      <c r="Q26" s="203" t="s">
        <v>19</v>
      </c>
      <c r="R26" s="202"/>
      <c r="U26" s="338"/>
      <c r="W26" s="206"/>
      <c r="X26" s="206"/>
      <c r="Y26" s="206"/>
    </row>
    <row r="27" spans="1:25" s="175" customFormat="1" ht="25.5" x14ac:dyDescent="0.2">
      <c r="A27" s="393"/>
      <c r="B27" s="394"/>
      <c r="C27" s="399"/>
      <c r="D27" s="399"/>
      <c r="E27" s="401"/>
      <c r="F27" s="401"/>
      <c r="G27" s="401"/>
      <c r="H27" s="401"/>
      <c r="I27" s="401"/>
      <c r="J27" s="399"/>
      <c r="K27" s="69" t="s">
        <v>80</v>
      </c>
      <c r="L27" s="67" t="s">
        <v>156</v>
      </c>
      <c r="M27" s="69" t="s">
        <v>11</v>
      </c>
      <c r="N27" s="203">
        <v>62.7</v>
      </c>
      <c r="O27" s="203">
        <v>62.9</v>
      </c>
      <c r="P27" s="203">
        <v>71</v>
      </c>
      <c r="Q27" s="203" t="s">
        <v>19</v>
      </c>
      <c r="R27" s="202"/>
    </row>
    <row r="28" spans="1:25" s="175" customFormat="1" ht="25.5" x14ac:dyDescent="0.2">
      <c r="A28" s="393"/>
      <c r="B28" s="394"/>
      <c r="C28" s="399"/>
      <c r="D28" s="399"/>
      <c r="E28" s="401"/>
      <c r="F28" s="401"/>
      <c r="G28" s="401"/>
      <c r="H28" s="401"/>
      <c r="I28" s="401"/>
      <c r="J28" s="399"/>
      <c r="K28" s="69" t="s">
        <v>185</v>
      </c>
      <c r="L28" s="67" t="s">
        <v>174</v>
      </c>
      <c r="M28" s="69" t="s">
        <v>11</v>
      </c>
      <c r="N28" s="203">
        <v>21.6</v>
      </c>
      <c r="O28" s="203">
        <v>21.6</v>
      </c>
      <c r="P28" s="203">
        <v>21.6</v>
      </c>
      <c r="Q28" s="203" t="s">
        <v>19</v>
      </c>
      <c r="R28" s="202"/>
    </row>
    <row r="29" spans="1:25" s="175" customFormat="1" x14ac:dyDescent="0.2">
      <c r="A29" s="393"/>
      <c r="B29" s="394"/>
      <c r="C29" s="399"/>
      <c r="D29" s="399"/>
      <c r="E29" s="93" t="s">
        <v>14</v>
      </c>
      <c r="F29" s="94">
        <v>313.60000000000002</v>
      </c>
      <c r="G29" s="343">
        <f>626.2+6.6</f>
        <v>632.80000000000007</v>
      </c>
      <c r="H29" s="94">
        <f>ROUND(G29*Lapas1!$A$1,1)</f>
        <v>689.8</v>
      </c>
      <c r="I29" s="94">
        <f>ROUND(H29*Lapas1!$A$2,1)</f>
        <v>779.5</v>
      </c>
      <c r="J29" s="95"/>
      <c r="K29" s="95"/>
      <c r="L29" s="96"/>
      <c r="M29" s="96"/>
      <c r="N29" s="205"/>
      <c r="O29" s="205"/>
      <c r="P29" s="205"/>
      <c r="Q29" s="205"/>
      <c r="R29" s="202"/>
    </row>
    <row r="30" spans="1:25" s="175" customFormat="1" x14ac:dyDescent="0.2">
      <c r="A30" s="393"/>
      <c r="B30" s="394"/>
      <c r="C30" s="399"/>
      <c r="D30" s="399"/>
      <c r="E30" s="93" t="s">
        <v>15</v>
      </c>
      <c r="F30" s="94">
        <v>1640.5</v>
      </c>
      <c r="G30" s="94">
        <v>2685.2</v>
      </c>
      <c r="H30" s="94">
        <f>ROUND(G30*Lapas1!$A$1,1)</f>
        <v>2926.9</v>
      </c>
      <c r="I30" s="94">
        <f>ROUND(H30*Lapas1!$A$2,1)</f>
        <v>3307.4</v>
      </c>
      <c r="J30" s="95"/>
      <c r="K30" s="95"/>
      <c r="L30" s="96"/>
      <c r="M30" s="96"/>
      <c r="N30" s="205"/>
      <c r="O30" s="205"/>
      <c r="P30" s="205"/>
      <c r="Q30" s="205"/>
      <c r="R30" s="202"/>
    </row>
    <row r="31" spans="1:25" s="175" customFormat="1" x14ac:dyDescent="0.2">
      <c r="A31" s="393"/>
      <c r="B31" s="394"/>
      <c r="C31" s="399"/>
      <c r="D31" s="399"/>
      <c r="E31" s="93" t="s">
        <v>17</v>
      </c>
      <c r="F31" s="94">
        <v>6</v>
      </c>
      <c r="G31" s="94">
        <v>7</v>
      </c>
      <c r="H31" s="94">
        <f>ROUND(G31*Lapas1!$A$1,1)</f>
        <v>7.6</v>
      </c>
      <c r="I31" s="94">
        <f>ROUND(H31*Lapas1!$A$2,1)</f>
        <v>8.6</v>
      </c>
      <c r="J31" s="95"/>
      <c r="K31" s="95"/>
      <c r="L31" s="96"/>
      <c r="M31" s="96"/>
      <c r="N31" s="205"/>
      <c r="O31" s="205"/>
      <c r="P31" s="205"/>
      <c r="Q31" s="205"/>
      <c r="R31" s="202"/>
    </row>
    <row r="32" spans="1:25" s="175" customFormat="1" x14ac:dyDescent="0.2">
      <c r="A32" s="393"/>
      <c r="B32" s="394"/>
      <c r="C32" s="399"/>
      <c r="D32" s="399"/>
      <c r="E32" s="98" t="s">
        <v>22</v>
      </c>
      <c r="F32" s="99">
        <f>SUM(F29:F31)</f>
        <v>1960.1</v>
      </c>
      <c r="G32" s="159">
        <f>SUM(G29:G31)</f>
        <v>3325</v>
      </c>
      <c r="H32" s="99">
        <f t="shared" ref="H32:I32" si="0">SUM(H29:H31)</f>
        <v>3624.2999999999997</v>
      </c>
      <c r="I32" s="99">
        <f t="shared" si="0"/>
        <v>4095.5</v>
      </c>
      <c r="J32" s="95"/>
      <c r="K32" s="95"/>
      <c r="L32" s="96"/>
      <c r="M32" s="96"/>
      <c r="N32" s="205"/>
      <c r="O32" s="205"/>
      <c r="P32" s="205"/>
      <c r="Q32" s="205"/>
      <c r="R32" s="101">
        <f>(G32-F32)/F32</f>
        <v>0.69634202336615492</v>
      </c>
    </row>
    <row r="33" spans="1:19" s="175" customFormat="1" ht="13.5" x14ac:dyDescent="0.2">
      <c r="A33" s="393" t="s">
        <v>0</v>
      </c>
      <c r="B33" s="394" t="s">
        <v>0</v>
      </c>
      <c r="C33" s="395" t="s">
        <v>10</v>
      </c>
      <c r="D33" s="395" t="s">
        <v>21</v>
      </c>
      <c r="E33" s="401" t="s">
        <v>219</v>
      </c>
      <c r="F33" s="401"/>
      <c r="G33" s="401"/>
      <c r="H33" s="401"/>
      <c r="I33" s="401"/>
      <c r="J33" s="132" t="s">
        <v>19</v>
      </c>
      <c r="K33" s="331" t="s">
        <v>19</v>
      </c>
      <c r="L33" s="331" t="s">
        <v>19</v>
      </c>
      <c r="M33" s="344" t="s">
        <v>19</v>
      </c>
      <c r="N33" s="331" t="s">
        <v>19</v>
      </c>
      <c r="O33" s="331" t="s">
        <v>19</v>
      </c>
      <c r="P33" s="331" t="s">
        <v>19</v>
      </c>
      <c r="Q33" s="331" t="s">
        <v>19</v>
      </c>
      <c r="R33" s="202"/>
      <c r="S33" s="204"/>
    </row>
    <row r="34" spans="1:19" s="175" customFormat="1" x14ac:dyDescent="0.2">
      <c r="A34" s="393"/>
      <c r="B34" s="394"/>
      <c r="C34" s="395"/>
      <c r="D34" s="395"/>
      <c r="E34" s="93" t="s">
        <v>14</v>
      </c>
      <c r="F34" s="94">
        <v>207.8</v>
      </c>
      <c r="G34" s="94"/>
      <c r="H34" s="94"/>
      <c r="I34" s="94"/>
      <c r="J34" s="95"/>
      <c r="K34" s="95"/>
      <c r="L34" s="96"/>
      <c r="M34" s="96"/>
      <c r="N34" s="205"/>
      <c r="O34" s="205"/>
      <c r="P34" s="205"/>
      <c r="Q34" s="205"/>
      <c r="R34" s="202"/>
    </row>
    <row r="35" spans="1:19" s="175" customFormat="1" x14ac:dyDescent="0.2">
      <c r="A35" s="393"/>
      <c r="B35" s="394"/>
      <c r="C35" s="395"/>
      <c r="D35" s="395"/>
      <c r="E35" s="93" t="s">
        <v>15</v>
      </c>
      <c r="F35" s="94">
        <v>618.1</v>
      </c>
      <c r="G35" s="94"/>
      <c r="H35" s="94"/>
      <c r="I35" s="94"/>
      <c r="J35" s="95"/>
      <c r="K35" s="95"/>
      <c r="L35" s="96"/>
      <c r="M35" s="96"/>
      <c r="N35" s="205"/>
      <c r="O35" s="205"/>
      <c r="P35" s="205"/>
      <c r="Q35" s="205"/>
      <c r="R35" s="202"/>
    </row>
    <row r="36" spans="1:19" s="175" customFormat="1" x14ac:dyDescent="0.2">
      <c r="A36" s="393"/>
      <c r="B36" s="394"/>
      <c r="C36" s="395"/>
      <c r="D36" s="395"/>
      <c r="E36" s="93" t="s">
        <v>17</v>
      </c>
      <c r="F36" s="94">
        <v>3</v>
      </c>
      <c r="G36" s="94"/>
      <c r="H36" s="94"/>
      <c r="I36" s="94"/>
      <c r="J36" s="95"/>
      <c r="K36" s="95"/>
      <c r="L36" s="96"/>
      <c r="M36" s="96"/>
      <c r="N36" s="205"/>
      <c r="O36" s="205"/>
      <c r="P36" s="205"/>
      <c r="Q36" s="205"/>
      <c r="R36" s="202"/>
    </row>
    <row r="37" spans="1:19" s="175" customFormat="1" x14ac:dyDescent="0.2">
      <c r="A37" s="393"/>
      <c r="B37" s="394"/>
      <c r="C37" s="395"/>
      <c r="D37" s="395"/>
      <c r="E37" s="98" t="s">
        <v>22</v>
      </c>
      <c r="F37" s="99">
        <f>SUM(F34:F36)</f>
        <v>828.90000000000009</v>
      </c>
      <c r="G37" s="159">
        <f t="shared" ref="G37" si="1">SUM(G34:G36)</f>
        <v>0</v>
      </c>
      <c r="H37" s="99">
        <f t="shared" ref="H37" si="2">SUM(H34:H36)</f>
        <v>0</v>
      </c>
      <c r="I37" s="99">
        <f t="shared" ref="I37" si="3">SUM(I34:I36)</f>
        <v>0</v>
      </c>
      <c r="J37" s="95"/>
      <c r="K37" s="95"/>
      <c r="L37" s="96"/>
      <c r="M37" s="96"/>
      <c r="N37" s="205"/>
      <c r="O37" s="205"/>
      <c r="P37" s="205"/>
      <c r="Q37" s="205"/>
      <c r="R37" s="101">
        <f>(G37-F37)/F37</f>
        <v>-1</v>
      </c>
    </row>
    <row r="38" spans="1:19" s="175" customFormat="1" ht="38.25" x14ac:dyDescent="0.2">
      <c r="A38" s="393" t="s">
        <v>0</v>
      </c>
      <c r="B38" s="394" t="s">
        <v>0</v>
      </c>
      <c r="C38" s="395" t="s">
        <v>24</v>
      </c>
      <c r="D38" s="395" t="s">
        <v>21</v>
      </c>
      <c r="E38" s="401" t="s">
        <v>220</v>
      </c>
      <c r="F38" s="401"/>
      <c r="G38" s="401"/>
      <c r="H38" s="401"/>
      <c r="I38" s="401"/>
      <c r="J38" s="399" t="s">
        <v>19</v>
      </c>
      <c r="K38" s="102" t="s">
        <v>180</v>
      </c>
      <c r="L38" s="103" t="s">
        <v>151</v>
      </c>
      <c r="M38" s="102" t="s">
        <v>11</v>
      </c>
      <c r="N38" s="203">
        <v>55</v>
      </c>
      <c r="O38" s="203">
        <v>57</v>
      </c>
      <c r="P38" s="203">
        <v>57</v>
      </c>
      <c r="Q38" s="203" t="s">
        <v>19</v>
      </c>
      <c r="R38" s="202"/>
      <c r="S38" s="204"/>
    </row>
    <row r="39" spans="1:19" s="175" customFormat="1" ht="25.5" x14ac:dyDescent="0.2">
      <c r="A39" s="393"/>
      <c r="B39" s="394"/>
      <c r="C39" s="395"/>
      <c r="D39" s="395"/>
      <c r="E39" s="401"/>
      <c r="F39" s="401"/>
      <c r="G39" s="401"/>
      <c r="H39" s="401"/>
      <c r="I39" s="401"/>
      <c r="J39" s="399"/>
      <c r="K39" s="102" t="s">
        <v>181</v>
      </c>
      <c r="L39" s="103" t="s">
        <v>33</v>
      </c>
      <c r="M39" s="102" t="s">
        <v>11</v>
      </c>
      <c r="N39" s="203">
        <v>3.2</v>
      </c>
      <c r="O39" s="203">
        <v>2.8</v>
      </c>
      <c r="P39" s="203">
        <v>2.6</v>
      </c>
      <c r="Q39" s="203" t="s">
        <v>19</v>
      </c>
      <c r="R39" s="202"/>
      <c r="S39" s="204"/>
    </row>
    <row r="40" spans="1:19" s="175" customFormat="1" x14ac:dyDescent="0.2">
      <c r="A40" s="393"/>
      <c r="B40" s="394"/>
      <c r="C40" s="395"/>
      <c r="D40" s="395"/>
      <c r="E40" s="401"/>
      <c r="F40" s="401"/>
      <c r="G40" s="401"/>
      <c r="H40" s="401"/>
      <c r="I40" s="401"/>
      <c r="J40" s="399"/>
      <c r="K40" s="102" t="s">
        <v>88</v>
      </c>
      <c r="L40" s="103" t="s">
        <v>154</v>
      </c>
      <c r="M40" s="102" t="s">
        <v>11</v>
      </c>
      <c r="N40" s="203">
        <v>100</v>
      </c>
      <c r="O40" s="203">
        <v>100</v>
      </c>
      <c r="P40" s="203">
        <v>100</v>
      </c>
      <c r="Q40" s="203" t="s">
        <v>19</v>
      </c>
      <c r="R40" s="202"/>
      <c r="S40" s="204"/>
    </row>
    <row r="41" spans="1:19" s="175" customFormat="1" ht="25.5" x14ac:dyDescent="0.2">
      <c r="A41" s="393"/>
      <c r="B41" s="394"/>
      <c r="C41" s="395"/>
      <c r="D41" s="395"/>
      <c r="E41" s="401"/>
      <c r="F41" s="401"/>
      <c r="G41" s="401"/>
      <c r="H41" s="401"/>
      <c r="I41" s="401"/>
      <c r="J41" s="399"/>
      <c r="K41" s="102" t="s">
        <v>89</v>
      </c>
      <c r="L41" s="103" t="s">
        <v>155</v>
      </c>
      <c r="M41" s="102" t="s">
        <v>94</v>
      </c>
      <c r="N41" s="203">
        <v>1</v>
      </c>
      <c r="O41" s="203">
        <v>1.1000000000000001</v>
      </c>
      <c r="P41" s="203">
        <v>1.1000000000000001</v>
      </c>
      <c r="Q41" s="203" t="s">
        <v>19</v>
      </c>
      <c r="R41" s="202"/>
    </row>
    <row r="42" spans="1:19" s="175" customFormat="1" ht="25.5" x14ac:dyDescent="0.2">
      <c r="A42" s="393"/>
      <c r="B42" s="394"/>
      <c r="C42" s="395"/>
      <c r="D42" s="395"/>
      <c r="E42" s="401"/>
      <c r="F42" s="401"/>
      <c r="G42" s="401"/>
      <c r="H42" s="401"/>
      <c r="I42" s="401"/>
      <c r="J42" s="399"/>
      <c r="K42" s="102" t="s">
        <v>90</v>
      </c>
      <c r="L42" s="103" t="s">
        <v>156</v>
      </c>
      <c r="M42" s="102" t="s">
        <v>11</v>
      </c>
      <c r="N42" s="203">
        <v>66</v>
      </c>
      <c r="O42" s="203">
        <v>67</v>
      </c>
      <c r="P42" s="203">
        <v>70</v>
      </c>
      <c r="Q42" s="203" t="s">
        <v>19</v>
      </c>
      <c r="R42" s="202"/>
    </row>
    <row r="43" spans="1:19" s="175" customFormat="1" ht="25.5" x14ac:dyDescent="0.2">
      <c r="A43" s="393"/>
      <c r="B43" s="394"/>
      <c r="C43" s="395"/>
      <c r="D43" s="395"/>
      <c r="E43" s="401"/>
      <c r="F43" s="401"/>
      <c r="G43" s="401"/>
      <c r="H43" s="401"/>
      <c r="I43" s="401"/>
      <c r="J43" s="399"/>
      <c r="K43" s="69" t="s">
        <v>184</v>
      </c>
      <c r="L43" s="67" t="s">
        <v>174</v>
      </c>
      <c r="M43" s="69" t="s">
        <v>11</v>
      </c>
      <c r="N43" s="203">
        <v>22.21</v>
      </c>
      <c r="O43" s="203">
        <v>22.6</v>
      </c>
      <c r="P43" s="203">
        <v>23</v>
      </c>
      <c r="Q43" s="203" t="s">
        <v>19</v>
      </c>
      <c r="R43" s="202"/>
    </row>
    <row r="44" spans="1:19" s="175" customFormat="1" x14ac:dyDescent="0.2">
      <c r="A44" s="393"/>
      <c r="B44" s="394"/>
      <c r="C44" s="395"/>
      <c r="D44" s="395"/>
      <c r="E44" s="93" t="s">
        <v>14</v>
      </c>
      <c r="F44" s="94">
        <v>389.4</v>
      </c>
      <c r="G44" s="343">
        <f>436.8+0.2</f>
        <v>437</v>
      </c>
      <c r="H44" s="94">
        <f>ROUND(G44*Lapas1!$A$1,1)</f>
        <v>476.3</v>
      </c>
      <c r="I44" s="94">
        <f>ROUND(H44*Lapas1!$A$2,1)</f>
        <v>538.20000000000005</v>
      </c>
      <c r="J44" s="95"/>
      <c r="K44" s="95"/>
      <c r="L44" s="96"/>
      <c r="M44" s="96"/>
      <c r="N44" s="205"/>
      <c r="O44" s="205"/>
      <c r="P44" s="205"/>
      <c r="Q44" s="205"/>
      <c r="R44" s="202"/>
    </row>
    <row r="45" spans="1:19" s="175" customFormat="1" x14ac:dyDescent="0.2">
      <c r="A45" s="393"/>
      <c r="B45" s="394"/>
      <c r="C45" s="395"/>
      <c r="D45" s="395"/>
      <c r="E45" s="93" t="s">
        <v>15</v>
      </c>
      <c r="F45" s="94">
        <v>2394.4</v>
      </c>
      <c r="G45" s="94">
        <v>2811</v>
      </c>
      <c r="H45" s="94">
        <f>ROUND(G45*Lapas1!$A$1,1)</f>
        <v>3064</v>
      </c>
      <c r="I45" s="94">
        <f>ROUND(H45*Lapas1!$A$2,1)</f>
        <v>3462.3</v>
      </c>
      <c r="J45" s="95"/>
      <c r="K45" s="95"/>
      <c r="L45" s="96"/>
      <c r="M45" s="96"/>
      <c r="N45" s="205"/>
      <c r="O45" s="205"/>
      <c r="P45" s="205"/>
      <c r="Q45" s="205"/>
      <c r="R45" s="202"/>
    </row>
    <row r="46" spans="1:19" s="175" customFormat="1" x14ac:dyDescent="0.2">
      <c r="A46" s="393"/>
      <c r="B46" s="394"/>
      <c r="C46" s="395"/>
      <c r="D46" s="395"/>
      <c r="E46" s="93" t="s">
        <v>17</v>
      </c>
      <c r="F46" s="94">
        <f>106+15.1</f>
        <v>121.1</v>
      </c>
      <c r="G46" s="94">
        <f>139.1+1.651</f>
        <v>140.751</v>
      </c>
      <c r="H46" s="94">
        <f>ROUND(G46*Lapas1!$A$1,1)</f>
        <v>153.4</v>
      </c>
      <c r="I46" s="94">
        <f>ROUND(H46*Lapas1!$A$2,1)</f>
        <v>173.3</v>
      </c>
      <c r="J46" s="95"/>
      <c r="K46" s="95"/>
      <c r="L46" s="96"/>
      <c r="M46" s="96"/>
      <c r="N46" s="205"/>
      <c r="O46" s="205"/>
      <c r="P46" s="205"/>
      <c r="Q46" s="205"/>
      <c r="R46" s="202"/>
    </row>
    <row r="47" spans="1:19" s="175" customFormat="1" x14ac:dyDescent="0.2">
      <c r="A47" s="393"/>
      <c r="B47" s="394"/>
      <c r="C47" s="395"/>
      <c r="D47" s="395"/>
      <c r="E47" s="98" t="s">
        <v>22</v>
      </c>
      <c r="F47" s="99">
        <f>SUM(F44:F46)</f>
        <v>2904.9</v>
      </c>
      <c r="G47" s="159">
        <f t="shared" ref="G47" si="4">SUM(G44:G46)</f>
        <v>3388.7510000000002</v>
      </c>
      <c r="H47" s="99">
        <f t="shared" ref="H47" si="5">SUM(H44:H46)</f>
        <v>3693.7000000000003</v>
      </c>
      <c r="I47" s="99">
        <f t="shared" ref="I47" si="6">SUM(I44:I46)</f>
        <v>4173.8</v>
      </c>
      <c r="J47" s="95"/>
      <c r="K47" s="95"/>
      <c r="L47" s="96"/>
      <c r="M47" s="96"/>
      <c r="N47" s="205"/>
      <c r="O47" s="205"/>
      <c r="P47" s="205"/>
      <c r="Q47" s="205"/>
      <c r="R47" s="101">
        <f>(G47-F47)/F47</f>
        <v>0.16656373713380843</v>
      </c>
    </row>
    <row r="48" spans="1:19" s="175" customFormat="1" ht="25.5" x14ac:dyDescent="0.2">
      <c r="A48" s="393" t="s">
        <v>0</v>
      </c>
      <c r="B48" s="394" t="s">
        <v>0</v>
      </c>
      <c r="C48" s="395" t="s">
        <v>25</v>
      </c>
      <c r="D48" s="395" t="s">
        <v>21</v>
      </c>
      <c r="E48" s="401" t="s">
        <v>221</v>
      </c>
      <c r="F48" s="401"/>
      <c r="G48" s="401"/>
      <c r="H48" s="401"/>
      <c r="I48" s="401"/>
      <c r="J48" s="399" t="s">
        <v>19</v>
      </c>
      <c r="K48" s="102" t="s">
        <v>175</v>
      </c>
      <c r="L48" s="103" t="s">
        <v>33</v>
      </c>
      <c r="M48" s="102" t="s">
        <v>11</v>
      </c>
      <c r="N48" s="203">
        <v>3</v>
      </c>
      <c r="O48" s="203">
        <v>2.8</v>
      </c>
      <c r="P48" s="203">
        <v>2.7</v>
      </c>
      <c r="Q48" s="203" t="s">
        <v>19</v>
      </c>
      <c r="R48" s="202"/>
      <c r="S48" s="204"/>
    </row>
    <row r="49" spans="1:19" s="175" customFormat="1" x14ac:dyDescent="0.2">
      <c r="A49" s="393"/>
      <c r="B49" s="394"/>
      <c r="C49" s="395"/>
      <c r="D49" s="395"/>
      <c r="E49" s="401"/>
      <c r="F49" s="401"/>
      <c r="G49" s="401"/>
      <c r="H49" s="401"/>
      <c r="I49" s="401"/>
      <c r="J49" s="399"/>
      <c r="K49" s="102" t="s">
        <v>91</v>
      </c>
      <c r="L49" s="103" t="s">
        <v>154</v>
      </c>
      <c r="M49" s="102" t="s">
        <v>11</v>
      </c>
      <c r="N49" s="203">
        <v>100</v>
      </c>
      <c r="O49" s="203">
        <v>100</v>
      </c>
      <c r="P49" s="203">
        <v>100</v>
      </c>
      <c r="Q49" s="203" t="s">
        <v>19</v>
      </c>
      <c r="R49" s="202"/>
      <c r="S49" s="204"/>
    </row>
    <row r="50" spans="1:19" s="175" customFormat="1" ht="25.5" x14ac:dyDescent="0.2">
      <c r="A50" s="393"/>
      <c r="B50" s="394"/>
      <c r="C50" s="395"/>
      <c r="D50" s="395"/>
      <c r="E50" s="401"/>
      <c r="F50" s="401"/>
      <c r="G50" s="401"/>
      <c r="H50" s="401"/>
      <c r="I50" s="401"/>
      <c r="J50" s="399"/>
      <c r="K50" s="102" t="s">
        <v>92</v>
      </c>
      <c r="L50" s="103" t="s">
        <v>812</v>
      </c>
      <c r="M50" s="102" t="s">
        <v>12</v>
      </c>
      <c r="N50" s="203">
        <v>22</v>
      </c>
      <c r="O50" s="203">
        <v>25</v>
      </c>
      <c r="P50" s="203">
        <v>30</v>
      </c>
      <c r="Q50" s="203" t="s">
        <v>19</v>
      </c>
      <c r="R50" s="202"/>
    </row>
    <row r="51" spans="1:19" s="175" customFormat="1" ht="25.5" x14ac:dyDescent="0.2">
      <c r="A51" s="393"/>
      <c r="B51" s="394"/>
      <c r="C51" s="395"/>
      <c r="D51" s="395"/>
      <c r="E51" s="401"/>
      <c r="F51" s="401"/>
      <c r="G51" s="401"/>
      <c r="H51" s="401"/>
      <c r="I51" s="401"/>
      <c r="J51" s="399"/>
      <c r="K51" s="102" t="s">
        <v>93</v>
      </c>
      <c r="L51" s="103" t="s">
        <v>156</v>
      </c>
      <c r="M51" s="102" t="s">
        <v>11</v>
      </c>
      <c r="N51" s="203">
        <v>70</v>
      </c>
      <c r="O51" s="203">
        <v>75</v>
      </c>
      <c r="P51" s="203">
        <v>80</v>
      </c>
      <c r="Q51" s="203" t="s">
        <v>19</v>
      </c>
      <c r="R51" s="202"/>
    </row>
    <row r="52" spans="1:19" s="175" customFormat="1" x14ac:dyDescent="0.2">
      <c r="A52" s="393"/>
      <c r="B52" s="394"/>
      <c r="C52" s="395"/>
      <c r="D52" s="395"/>
      <c r="E52" s="401"/>
      <c r="F52" s="401"/>
      <c r="G52" s="401"/>
      <c r="H52" s="401"/>
      <c r="I52" s="401"/>
      <c r="J52" s="399"/>
      <c r="K52" s="102" t="s">
        <v>176</v>
      </c>
      <c r="L52" s="103" t="s">
        <v>85</v>
      </c>
      <c r="M52" s="102" t="s">
        <v>11</v>
      </c>
      <c r="N52" s="203">
        <v>45</v>
      </c>
      <c r="O52" s="203">
        <v>45</v>
      </c>
      <c r="P52" s="203">
        <v>40</v>
      </c>
      <c r="Q52" s="203" t="s">
        <v>19</v>
      </c>
      <c r="R52" s="202"/>
    </row>
    <row r="53" spans="1:19" s="175" customFormat="1" x14ac:dyDescent="0.2">
      <c r="A53" s="393"/>
      <c r="B53" s="394"/>
      <c r="C53" s="395"/>
      <c r="D53" s="395"/>
      <c r="E53" s="93" t="s">
        <v>14</v>
      </c>
      <c r="F53" s="94">
        <v>41.1</v>
      </c>
      <c r="G53" s="343">
        <v>94.9</v>
      </c>
      <c r="H53" s="94">
        <f>ROUND(G53*Lapas1!$A$1,1)</f>
        <v>103.4</v>
      </c>
      <c r="I53" s="94">
        <f>ROUND(H53*Lapas1!$A$2,1)</f>
        <v>116.8</v>
      </c>
      <c r="J53" s="95"/>
      <c r="K53" s="95"/>
      <c r="L53" s="96"/>
      <c r="M53" s="96"/>
      <c r="N53" s="205"/>
      <c r="O53" s="205"/>
      <c r="P53" s="205"/>
      <c r="Q53" s="205"/>
      <c r="R53" s="202"/>
    </row>
    <row r="54" spans="1:19" s="175" customFormat="1" x14ac:dyDescent="0.2">
      <c r="A54" s="393"/>
      <c r="B54" s="394"/>
      <c r="C54" s="395"/>
      <c r="D54" s="395"/>
      <c r="E54" s="93" t="s">
        <v>15</v>
      </c>
      <c r="F54" s="94">
        <f>994.7+847</f>
        <v>1841.7</v>
      </c>
      <c r="G54" s="343">
        <f>777.7+1213.5</f>
        <v>1991.2</v>
      </c>
      <c r="H54" s="94">
        <f>ROUND(G54*Lapas1!$A$1,1)</f>
        <v>2170.4</v>
      </c>
      <c r="I54" s="94">
        <f>ROUND(H54*Lapas1!$A$2,1)</f>
        <v>2452.6</v>
      </c>
      <c r="J54" s="95"/>
      <c r="K54" s="95"/>
      <c r="L54" s="96"/>
      <c r="M54" s="96"/>
      <c r="N54" s="205"/>
      <c r="O54" s="205"/>
      <c r="P54" s="205"/>
      <c r="Q54" s="205"/>
      <c r="R54" s="202"/>
    </row>
    <row r="55" spans="1:19" s="175" customFormat="1" x14ac:dyDescent="0.2">
      <c r="A55" s="393"/>
      <c r="B55" s="394"/>
      <c r="C55" s="395"/>
      <c r="D55" s="395"/>
      <c r="E55" s="93" t="s">
        <v>17</v>
      </c>
      <c r="F55" s="94">
        <v>25</v>
      </c>
      <c r="G55" s="94">
        <v>29</v>
      </c>
      <c r="H55" s="94">
        <f>ROUND(G55*Lapas1!$A$1,1)</f>
        <v>31.6</v>
      </c>
      <c r="I55" s="94">
        <f>ROUND(H55*Lapas1!$A$2,1)</f>
        <v>35.700000000000003</v>
      </c>
      <c r="J55" s="95"/>
      <c r="K55" s="95"/>
      <c r="L55" s="96"/>
      <c r="M55" s="96"/>
      <c r="N55" s="205"/>
      <c r="O55" s="205"/>
      <c r="P55" s="205"/>
      <c r="Q55" s="205"/>
      <c r="R55" s="202"/>
    </row>
    <row r="56" spans="1:19" s="175" customFormat="1" x14ac:dyDescent="0.2">
      <c r="A56" s="393"/>
      <c r="B56" s="394"/>
      <c r="C56" s="395"/>
      <c r="D56" s="395"/>
      <c r="E56" s="98" t="s">
        <v>22</v>
      </c>
      <c r="F56" s="99">
        <f>SUM(F53:F55)</f>
        <v>1907.8</v>
      </c>
      <c r="G56" s="159">
        <f t="shared" ref="G56" si="7">SUM(G53:G55)</f>
        <v>2115.1</v>
      </c>
      <c r="H56" s="99">
        <f t="shared" ref="H56" si="8">SUM(H53:H55)</f>
        <v>2305.4</v>
      </c>
      <c r="I56" s="99">
        <f t="shared" ref="I56" si="9">SUM(I53:I55)</f>
        <v>2605.1</v>
      </c>
      <c r="J56" s="95"/>
      <c r="K56" s="95"/>
      <c r="L56" s="96"/>
      <c r="M56" s="96"/>
      <c r="N56" s="205"/>
      <c r="O56" s="205"/>
      <c r="P56" s="205"/>
      <c r="Q56" s="205"/>
      <c r="R56" s="101">
        <f>(G56-F56)/F56</f>
        <v>0.10865918859419224</v>
      </c>
    </row>
    <row r="57" spans="1:19" s="175" customFormat="1" ht="38.25" x14ac:dyDescent="0.2">
      <c r="A57" s="393" t="s">
        <v>0</v>
      </c>
      <c r="B57" s="394" t="s">
        <v>0</v>
      </c>
      <c r="C57" s="395" t="s">
        <v>26</v>
      </c>
      <c r="D57" s="395" t="s">
        <v>21</v>
      </c>
      <c r="E57" s="401" t="s">
        <v>222</v>
      </c>
      <c r="F57" s="401"/>
      <c r="G57" s="401"/>
      <c r="H57" s="401"/>
      <c r="I57" s="401"/>
      <c r="J57" s="399" t="s">
        <v>19</v>
      </c>
      <c r="K57" s="69" t="s">
        <v>182</v>
      </c>
      <c r="L57" s="67" t="s">
        <v>151</v>
      </c>
      <c r="M57" s="69" t="s">
        <v>11</v>
      </c>
      <c r="N57" s="203">
        <v>35</v>
      </c>
      <c r="O57" s="203">
        <v>36</v>
      </c>
      <c r="P57" s="203">
        <v>38</v>
      </c>
      <c r="Q57" s="203" t="s">
        <v>19</v>
      </c>
      <c r="R57" s="202"/>
      <c r="S57" s="204"/>
    </row>
    <row r="58" spans="1:19" s="175" customFormat="1" ht="25.5" x14ac:dyDescent="0.2">
      <c r="A58" s="393"/>
      <c r="B58" s="394"/>
      <c r="C58" s="395"/>
      <c r="D58" s="395"/>
      <c r="E58" s="401"/>
      <c r="F58" s="401"/>
      <c r="G58" s="401"/>
      <c r="H58" s="401"/>
      <c r="I58" s="401"/>
      <c r="J58" s="399"/>
      <c r="K58" s="69" t="s">
        <v>183</v>
      </c>
      <c r="L58" s="67" t="s">
        <v>33</v>
      </c>
      <c r="M58" s="69" t="s">
        <v>11</v>
      </c>
      <c r="N58" s="203">
        <v>3</v>
      </c>
      <c r="O58" s="203">
        <v>2.9</v>
      </c>
      <c r="P58" s="203">
        <v>2.8</v>
      </c>
      <c r="Q58" s="203" t="s">
        <v>19</v>
      </c>
      <c r="R58" s="202"/>
      <c r="S58" s="204"/>
    </row>
    <row r="59" spans="1:19" s="175" customFormat="1" x14ac:dyDescent="0.2">
      <c r="A59" s="393"/>
      <c r="B59" s="394"/>
      <c r="C59" s="395"/>
      <c r="D59" s="395"/>
      <c r="E59" s="401"/>
      <c r="F59" s="401"/>
      <c r="G59" s="401"/>
      <c r="H59" s="401"/>
      <c r="I59" s="401"/>
      <c r="J59" s="399"/>
      <c r="K59" s="69" t="s">
        <v>95</v>
      </c>
      <c r="L59" s="67" t="s">
        <v>154</v>
      </c>
      <c r="M59" s="69" t="s">
        <v>11</v>
      </c>
      <c r="N59" s="203">
        <v>100</v>
      </c>
      <c r="O59" s="203">
        <v>100</v>
      </c>
      <c r="P59" s="203">
        <v>100</v>
      </c>
      <c r="Q59" s="203" t="s">
        <v>19</v>
      </c>
      <c r="R59" s="202"/>
      <c r="S59" s="204"/>
    </row>
    <row r="60" spans="1:19" s="175" customFormat="1" ht="25.5" x14ac:dyDescent="0.2">
      <c r="A60" s="393"/>
      <c r="B60" s="394"/>
      <c r="C60" s="395"/>
      <c r="D60" s="395"/>
      <c r="E60" s="401"/>
      <c r="F60" s="401"/>
      <c r="G60" s="401"/>
      <c r="H60" s="401"/>
      <c r="I60" s="401"/>
      <c r="J60" s="399"/>
      <c r="K60" s="69" t="s">
        <v>96</v>
      </c>
      <c r="L60" s="67" t="s">
        <v>155</v>
      </c>
      <c r="M60" s="69" t="s">
        <v>94</v>
      </c>
      <c r="N60" s="203">
        <v>0.72</v>
      </c>
      <c r="O60" s="203">
        <v>0.75</v>
      </c>
      <c r="P60" s="203">
        <v>0.76</v>
      </c>
      <c r="Q60" s="203" t="s">
        <v>19</v>
      </c>
      <c r="R60" s="202"/>
    </row>
    <row r="61" spans="1:19" s="175" customFormat="1" ht="25.5" x14ac:dyDescent="0.2">
      <c r="A61" s="393"/>
      <c r="B61" s="394"/>
      <c r="C61" s="395"/>
      <c r="D61" s="395"/>
      <c r="E61" s="401"/>
      <c r="F61" s="401"/>
      <c r="G61" s="401"/>
      <c r="H61" s="401"/>
      <c r="I61" s="401"/>
      <c r="J61" s="399"/>
      <c r="K61" s="69" t="s">
        <v>97</v>
      </c>
      <c r="L61" s="67" t="s">
        <v>156</v>
      </c>
      <c r="M61" s="69" t="s">
        <v>11</v>
      </c>
      <c r="N61" s="203">
        <v>55</v>
      </c>
      <c r="O61" s="203">
        <v>56</v>
      </c>
      <c r="P61" s="203">
        <v>58</v>
      </c>
      <c r="Q61" s="203" t="s">
        <v>19</v>
      </c>
      <c r="R61" s="202"/>
    </row>
    <row r="62" spans="1:19" s="175" customFormat="1" ht="25.5" x14ac:dyDescent="0.2">
      <c r="A62" s="393"/>
      <c r="B62" s="394"/>
      <c r="C62" s="395"/>
      <c r="D62" s="395"/>
      <c r="E62" s="401"/>
      <c r="F62" s="401"/>
      <c r="G62" s="401"/>
      <c r="H62" s="401"/>
      <c r="I62" s="401"/>
      <c r="J62" s="399"/>
      <c r="K62" s="69" t="s">
        <v>186</v>
      </c>
      <c r="L62" s="67" t="s">
        <v>174</v>
      </c>
      <c r="M62" s="69" t="s">
        <v>11</v>
      </c>
      <c r="N62" s="203">
        <v>34</v>
      </c>
      <c r="O62" s="203">
        <v>34.5</v>
      </c>
      <c r="P62" s="203">
        <v>35</v>
      </c>
      <c r="Q62" s="203" t="s">
        <v>19</v>
      </c>
      <c r="R62" s="202"/>
    </row>
    <row r="63" spans="1:19" s="175" customFormat="1" x14ac:dyDescent="0.2">
      <c r="A63" s="393"/>
      <c r="B63" s="394"/>
      <c r="C63" s="395"/>
      <c r="D63" s="395"/>
      <c r="E63" s="93" t="s">
        <v>14</v>
      </c>
      <c r="F63" s="94">
        <v>371.5</v>
      </c>
      <c r="G63" s="343">
        <f>403.8+3.1</f>
        <v>406.90000000000003</v>
      </c>
      <c r="H63" s="94">
        <f>ROUND(G63*Lapas1!$A$1,1)</f>
        <v>443.5</v>
      </c>
      <c r="I63" s="94">
        <f>ROUND(H63*Lapas1!$A$2,1)</f>
        <v>501.2</v>
      </c>
      <c r="J63" s="95"/>
      <c r="K63" s="95"/>
      <c r="L63" s="96"/>
      <c r="M63" s="96"/>
      <c r="N63" s="205"/>
      <c r="O63" s="205"/>
      <c r="P63" s="205"/>
      <c r="Q63" s="205"/>
      <c r="R63" s="202"/>
    </row>
    <row r="64" spans="1:19" s="175" customFormat="1" x14ac:dyDescent="0.2">
      <c r="A64" s="393"/>
      <c r="B64" s="394"/>
      <c r="C64" s="395"/>
      <c r="D64" s="395"/>
      <c r="E64" s="93" t="s">
        <v>15</v>
      </c>
      <c r="F64" s="94">
        <v>2411</v>
      </c>
      <c r="G64" s="94">
        <v>2684.8</v>
      </c>
      <c r="H64" s="94">
        <f>ROUND(G64*Lapas1!$A$1,1)</f>
        <v>2926.4</v>
      </c>
      <c r="I64" s="94">
        <f>ROUND(H64*Lapas1!$A$2,1)</f>
        <v>3306.8</v>
      </c>
      <c r="J64" s="95"/>
      <c r="K64" s="95"/>
      <c r="L64" s="96"/>
      <c r="M64" s="96"/>
      <c r="N64" s="205"/>
      <c r="O64" s="205"/>
      <c r="P64" s="205"/>
      <c r="Q64" s="205"/>
      <c r="R64" s="202"/>
    </row>
    <row r="65" spans="1:19" s="175" customFormat="1" x14ac:dyDescent="0.2">
      <c r="A65" s="393"/>
      <c r="B65" s="394"/>
      <c r="C65" s="395"/>
      <c r="D65" s="395"/>
      <c r="E65" s="93" t="s">
        <v>17</v>
      </c>
      <c r="F65" s="94">
        <v>130</v>
      </c>
      <c r="G65" s="94">
        <v>151</v>
      </c>
      <c r="H65" s="94">
        <f>ROUND(G65*Lapas1!$A$1,1)</f>
        <v>164.6</v>
      </c>
      <c r="I65" s="94">
        <f>ROUND(H65*Lapas1!$A$2,1)</f>
        <v>186</v>
      </c>
      <c r="J65" s="95"/>
      <c r="K65" s="95"/>
      <c r="L65" s="96"/>
      <c r="M65" s="96"/>
      <c r="N65" s="205"/>
      <c r="O65" s="205"/>
      <c r="P65" s="205"/>
      <c r="Q65" s="205"/>
      <c r="R65" s="202"/>
    </row>
    <row r="66" spans="1:19" s="175" customFormat="1" x14ac:dyDescent="0.2">
      <c r="A66" s="393"/>
      <c r="B66" s="394"/>
      <c r="C66" s="395"/>
      <c r="D66" s="395"/>
      <c r="E66" s="98" t="s">
        <v>22</v>
      </c>
      <c r="F66" s="99">
        <f>SUM(F63:F65)</f>
        <v>2912.5</v>
      </c>
      <c r="G66" s="159">
        <f t="shared" ref="G66" si="10">SUM(G63:G65)</f>
        <v>3242.7000000000003</v>
      </c>
      <c r="H66" s="99">
        <f t="shared" ref="H66" si="11">SUM(H63:H65)</f>
        <v>3534.5</v>
      </c>
      <c r="I66" s="99">
        <f t="shared" ref="I66" si="12">SUM(I63:I65)</f>
        <v>3994</v>
      </c>
      <c r="J66" s="95"/>
      <c r="K66" s="95"/>
      <c r="L66" s="96"/>
      <c r="M66" s="96"/>
      <c r="N66" s="205"/>
      <c r="O66" s="205"/>
      <c r="P66" s="205"/>
      <c r="Q66" s="205"/>
      <c r="R66" s="101">
        <f>(G66-F66)/F66</f>
        <v>0.11337339055794</v>
      </c>
    </row>
    <row r="67" spans="1:19" s="175" customFormat="1" ht="38.25" x14ac:dyDescent="0.2">
      <c r="A67" s="393" t="s">
        <v>0</v>
      </c>
      <c r="B67" s="394" t="s">
        <v>0</v>
      </c>
      <c r="C67" s="395" t="s">
        <v>27</v>
      </c>
      <c r="D67" s="395" t="s">
        <v>21</v>
      </c>
      <c r="E67" s="401" t="s">
        <v>223</v>
      </c>
      <c r="F67" s="401"/>
      <c r="G67" s="401"/>
      <c r="H67" s="401"/>
      <c r="I67" s="401"/>
      <c r="J67" s="399" t="s">
        <v>19</v>
      </c>
      <c r="K67" s="69" t="s">
        <v>187</v>
      </c>
      <c r="L67" s="67" t="s">
        <v>151</v>
      </c>
      <c r="M67" s="69" t="s">
        <v>11</v>
      </c>
      <c r="N67" s="203">
        <v>50</v>
      </c>
      <c r="O67" s="203">
        <v>50</v>
      </c>
      <c r="P67" s="203">
        <v>50</v>
      </c>
      <c r="Q67" s="203" t="s">
        <v>19</v>
      </c>
      <c r="R67" s="202"/>
      <c r="S67" s="204"/>
    </row>
    <row r="68" spans="1:19" s="175" customFormat="1" ht="25.5" x14ac:dyDescent="0.2">
      <c r="A68" s="393"/>
      <c r="B68" s="394"/>
      <c r="C68" s="395"/>
      <c r="D68" s="395"/>
      <c r="E68" s="401"/>
      <c r="F68" s="401"/>
      <c r="G68" s="401"/>
      <c r="H68" s="401"/>
      <c r="I68" s="401"/>
      <c r="J68" s="399"/>
      <c r="K68" s="69" t="s">
        <v>188</v>
      </c>
      <c r="L68" s="67" t="s">
        <v>33</v>
      </c>
      <c r="M68" s="69" t="s">
        <v>11</v>
      </c>
      <c r="N68" s="203">
        <v>3</v>
      </c>
      <c r="O68" s="203">
        <v>2</v>
      </c>
      <c r="P68" s="203">
        <v>2</v>
      </c>
      <c r="Q68" s="203" t="s">
        <v>19</v>
      </c>
      <c r="R68" s="202"/>
      <c r="S68" s="204"/>
    </row>
    <row r="69" spans="1:19" s="175" customFormat="1" x14ac:dyDescent="0.2">
      <c r="A69" s="393"/>
      <c r="B69" s="394"/>
      <c r="C69" s="395"/>
      <c r="D69" s="395"/>
      <c r="E69" s="401"/>
      <c r="F69" s="401"/>
      <c r="G69" s="401"/>
      <c r="H69" s="401"/>
      <c r="I69" s="401"/>
      <c r="J69" s="399"/>
      <c r="K69" s="69" t="s">
        <v>98</v>
      </c>
      <c r="L69" s="67" t="s">
        <v>154</v>
      </c>
      <c r="M69" s="69" t="s">
        <v>11</v>
      </c>
      <c r="N69" s="203">
        <v>100</v>
      </c>
      <c r="O69" s="203">
        <v>100</v>
      </c>
      <c r="P69" s="203">
        <v>100</v>
      </c>
      <c r="Q69" s="203" t="s">
        <v>19</v>
      </c>
      <c r="R69" s="202"/>
      <c r="S69" s="204"/>
    </row>
    <row r="70" spans="1:19" s="175" customFormat="1" ht="25.5" x14ac:dyDescent="0.2">
      <c r="A70" s="393"/>
      <c r="B70" s="394"/>
      <c r="C70" s="395"/>
      <c r="D70" s="395"/>
      <c r="E70" s="401"/>
      <c r="F70" s="401"/>
      <c r="G70" s="401"/>
      <c r="H70" s="401"/>
      <c r="I70" s="401"/>
      <c r="J70" s="399"/>
      <c r="K70" s="69" t="s">
        <v>99</v>
      </c>
      <c r="L70" s="67" t="s">
        <v>155</v>
      </c>
      <c r="M70" s="69" t="s">
        <v>94</v>
      </c>
      <c r="N70" s="203">
        <v>6</v>
      </c>
      <c r="O70" s="203">
        <v>6</v>
      </c>
      <c r="P70" s="203">
        <v>6</v>
      </c>
      <c r="Q70" s="203" t="s">
        <v>19</v>
      </c>
      <c r="R70" s="202"/>
    </row>
    <row r="71" spans="1:19" s="175" customFormat="1" ht="25.5" x14ac:dyDescent="0.2">
      <c r="A71" s="393"/>
      <c r="B71" s="394"/>
      <c r="C71" s="395"/>
      <c r="D71" s="395"/>
      <c r="E71" s="401"/>
      <c r="F71" s="401"/>
      <c r="G71" s="401"/>
      <c r="H71" s="401"/>
      <c r="I71" s="401"/>
      <c r="J71" s="399"/>
      <c r="K71" s="69" t="s">
        <v>100</v>
      </c>
      <c r="L71" s="67" t="s">
        <v>156</v>
      </c>
      <c r="M71" s="69" t="s">
        <v>11</v>
      </c>
      <c r="N71" s="203">
        <v>80</v>
      </c>
      <c r="O71" s="203">
        <v>80</v>
      </c>
      <c r="P71" s="203">
        <v>80</v>
      </c>
      <c r="Q71" s="203" t="s">
        <v>19</v>
      </c>
      <c r="R71" s="202"/>
    </row>
    <row r="72" spans="1:19" s="175" customFormat="1" ht="25.5" x14ac:dyDescent="0.2">
      <c r="A72" s="393"/>
      <c r="B72" s="394"/>
      <c r="C72" s="395"/>
      <c r="D72" s="395"/>
      <c r="E72" s="401"/>
      <c r="F72" s="401"/>
      <c r="G72" s="401"/>
      <c r="H72" s="401"/>
      <c r="I72" s="401"/>
      <c r="J72" s="399"/>
      <c r="K72" s="69" t="s">
        <v>189</v>
      </c>
      <c r="L72" s="67" t="s">
        <v>174</v>
      </c>
      <c r="M72" s="69" t="s">
        <v>11</v>
      </c>
      <c r="N72" s="203">
        <v>42</v>
      </c>
      <c r="O72" s="203">
        <v>41</v>
      </c>
      <c r="P72" s="203">
        <v>40</v>
      </c>
      <c r="Q72" s="203" t="s">
        <v>19</v>
      </c>
      <c r="R72" s="202"/>
    </row>
    <row r="73" spans="1:19" s="175" customFormat="1" x14ac:dyDescent="0.2">
      <c r="A73" s="393"/>
      <c r="B73" s="394"/>
      <c r="C73" s="395"/>
      <c r="D73" s="395"/>
      <c r="E73" s="93" t="s">
        <v>14</v>
      </c>
      <c r="F73" s="94">
        <v>776.4</v>
      </c>
      <c r="G73" s="343">
        <f>891.8+12.5</f>
        <v>904.3</v>
      </c>
      <c r="H73" s="94">
        <f>ROUND(G73*Lapas1!$A$1,1)</f>
        <v>985.7</v>
      </c>
      <c r="I73" s="94">
        <f>ROUND(H73*Lapas1!$A$2,1)</f>
        <v>1113.8</v>
      </c>
      <c r="J73" s="95"/>
      <c r="K73" s="95"/>
      <c r="L73" s="96"/>
      <c r="M73" s="96"/>
      <c r="N73" s="205"/>
      <c r="O73" s="205"/>
      <c r="P73" s="205"/>
      <c r="Q73" s="205"/>
      <c r="R73" s="202"/>
    </row>
    <row r="74" spans="1:19" s="175" customFormat="1" x14ac:dyDescent="0.2">
      <c r="A74" s="393"/>
      <c r="B74" s="394"/>
      <c r="C74" s="395"/>
      <c r="D74" s="395"/>
      <c r="E74" s="93" t="s">
        <v>15</v>
      </c>
      <c r="F74" s="94">
        <v>1311.2</v>
      </c>
      <c r="G74" s="94">
        <v>1660</v>
      </c>
      <c r="H74" s="94">
        <f>ROUND(G74*Lapas1!$A$1,1)</f>
        <v>1809.4</v>
      </c>
      <c r="I74" s="94">
        <f>ROUND(H74*Lapas1!$A$2,1)</f>
        <v>2044.6</v>
      </c>
      <c r="J74" s="95"/>
      <c r="K74" s="95"/>
      <c r="L74" s="96"/>
      <c r="M74" s="96"/>
      <c r="N74" s="205"/>
      <c r="O74" s="205"/>
      <c r="P74" s="205"/>
      <c r="Q74" s="205"/>
      <c r="R74" s="202"/>
    </row>
    <row r="75" spans="1:19" s="175" customFormat="1" x14ac:dyDescent="0.2">
      <c r="A75" s="393"/>
      <c r="B75" s="394"/>
      <c r="C75" s="395"/>
      <c r="D75" s="395"/>
      <c r="E75" s="93" t="s">
        <v>17</v>
      </c>
      <c r="F75" s="94">
        <v>39.1</v>
      </c>
      <c r="G75" s="94">
        <v>115.1</v>
      </c>
      <c r="H75" s="94">
        <f>ROUND(G75*Lapas1!$A$1,1)</f>
        <v>125.5</v>
      </c>
      <c r="I75" s="94">
        <f>ROUND(H75*Lapas1!$A$2,1)</f>
        <v>141.80000000000001</v>
      </c>
      <c r="J75" s="95"/>
      <c r="K75" s="95"/>
      <c r="L75" s="96"/>
      <c r="M75" s="96"/>
      <c r="N75" s="205"/>
      <c r="O75" s="205"/>
      <c r="P75" s="205"/>
      <c r="Q75" s="205"/>
      <c r="R75" s="202"/>
    </row>
    <row r="76" spans="1:19" s="175" customFormat="1" x14ac:dyDescent="0.2">
      <c r="A76" s="393"/>
      <c r="B76" s="394"/>
      <c r="C76" s="395"/>
      <c r="D76" s="395"/>
      <c r="E76" s="98" t="s">
        <v>22</v>
      </c>
      <c r="F76" s="99">
        <f>SUM(F73:F75)</f>
        <v>2126.6999999999998</v>
      </c>
      <c r="G76" s="159">
        <f t="shared" ref="G76" si="13">SUM(G73:G75)</f>
        <v>2679.4</v>
      </c>
      <c r="H76" s="99">
        <f t="shared" ref="H76" si="14">SUM(H73:H75)</f>
        <v>2920.6000000000004</v>
      </c>
      <c r="I76" s="99">
        <f t="shared" ref="I76" si="15">SUM(I73:I75)</f>
        <v>3300.2</v>
      </c>
      <c r="J76" s="95"/>
      <c r="K76" s="95"/>
      <c r="L76" s="96"/>
      <c r="M76" s="96"/>
      <c r="N76" s="205"/>
      <c r="O76" s="205"/>
      <c r="P76" s="205"/>
      <c r="Q76" s="205"/>
      <c r="R76" s="101">
        <f>(G76-F76)/F76</f>
        <v>0.25988620868011486</v>
      </c>
    </row>
    <row r="77" spans="1:19" s="175" customFormat="1" ht="25.5" x14ac:dyDescent="0.2">
      <c r="A77" s="393" t="s">
        <v>0</v>
      </c>
      <c r="B77" s="394" t="s">
        <v>0</v>
      </c>
      <c r="C77" s="395" t="s">
        <v>28</v>
      </c>
      <c r="D77" s="395" t="s">
        <v>21</v>
      </c>
      <c r="E77" s="401" t="s">
        <v>237</v>
      </c>
      <c r="F77" s="401"/>
      <c r="G77" s="401"/>
      <c r="H77" s="401"/>
      <c r="I77" s="401"/>
      <c r="J77" s="399" t="s">
        <v>19</v>
      </c>
      <c r="K77" s="69" t="s">
        <v>190</v>
      </c>
      <c r="L77" s="69" t="s">
        <v>150</v>
      </c>
      <c r="M77" s="69" t="s">
        <v>11</v>
      </c>
      <c r="N77" s="203">
        <v>76</v>
      </c>
      <c r="O77" s="203">
        <v>76</v>
      </c>
      <c r="P77" s="203">
        <v>76</v>
      </c>
      <c r="Q77" s="203" t="s">
        <v>19</v>
      </c>
      <c r="R77" s="202"/>
      <c r="S77" s="204"/>
    </row>
    <row r="78" spans="1:19" s="175" customFormat="1" ht="25.5" x14ac:dyDescent="0.2">
      <c r="A78" s="393"/>
      <c r="B78" s="394"/>
      <c r="C78" s="395"/>
      <c r="D78" s="395"/>
      <c r="E78" s="401"/>
      <c r="F78" s="401"/>
      <c r="G78" s="401"/>
      <c r="H78" s="401"/>
      <c r="I78" s="401"/>
      <c r="J78" s="399"/>
      <c r="K78" s="69" t="s">
        <v>191</v>
      </c>
      <c r="L78" s="67" t="s">
        <v>33</v>
      </c>
      <c r="M78" s="69" t="s">
        <v>11</v>
      </c>
      <c r="N78" s="203">
        <v>30</v>
      </c>
      <c r="O78" s="203">
        <v>20</v>
      </c>
      <c r="P78" s="203">
        <v>20</v>
      </c>
      <c r="Q78" s="203" t="s">
        <v>19</v>
      </c>
      <c r="R78" s="202"/>
      <c r="S78" s="204"/>
    </row>
    <row r="79" spans="1:19" s="175" customFormat="1" x14ac:dyDescent="0.2">
      <c r="A79" s="393"/>
      <c r="B79" s="394"/>
      <c r="C79" s="395"/>
      <c r="D79" s="395"/>
      <c r="E79" s="401"/>
      <c r="F79" s="401"/>
      <c r="G79" s="401"/>
      <c r="H79" s="401"/>
      <c r="I79" s="401"/>
      <c r="J79" s="399"/>
      <c r="K79" s="69" t="s">
        <v>101</v>
      </c>
      <c r="L79" s="67" t="s">
        <v>154</v>
      </c>
      <c r="M79" s="69" t="s">
        <v>11</v>
      </c>
      <c r="N79" s="203">
        <v>100</v>
      </c>
      <c r="O79" s="203">
        <v>100</v>
      </c>
      <c r="P79" s="203">
        <v>100</v>
      </c>
      <c r="Q79" s="203" t="s">
        <v>19</v>
      </c>
      <c r="R79" s="202"/>
      <c r="S79" s="204"/>
    </row>
    <row r="80" spans="1:19" s="175" customFormat="1" ht="25.5" x14ac:dyDescent="0.2">
      <c r="A80" s="393"/>
      <c r="B80" s="394"/>
      <c r="C80" s="395"/>
      <c r="D80" s="395"/>
      <c r="E80" s="401"/>
      <c r="F80" s="401"/>
      <c r="G80" s="401"/>
      <c r="H80" s="401"/>
      <c r="I80" s="401"/>
      <c r="J80" s="399"/>
      <c r="K80" s="69" t="s">
        <v>102</v>
      </c>
      <c r="L80" s="67" t="s">
        <v>155</v>
      </c>
      <c r="M80" s="69" t="s">
        <v>94</v>
      </c>
      <c r="N80" s="203" t="s">
        <v>163</v>
      </c>
      <c r="O80" s="203" t="s">
        <v>218</v>
      </c>
      <c r="P80" s="203">
        <v>4.5999999999999996</v>
      </c>
      <c r="Q80" s="203" t="s">
        <v>19</v>
      </c>
      <c r="R80" s="202"/>
    </row>
    <row r="81" spans="1:19" s="175" customFormat="1" ht="25.5" x14ac:dyDescent="0.2">
      <c r="A81" s="393"/>
      <c r="B81" s="394"/>
      <c r="C81" s="395"/>
      <c r="D81" s="395"/>
      <c r="E81" s="401"/>
      <c r="F81" s="401"/>
      <c r="G81" s="401"/>
      <c r="H81" s="401"/>
      <c r="I81" s="401"/>
      <c r="J81" s="399"/>
      <c r="K81" s="69" t="s">
        <v>103</v>
      </c>
      <c r="L81" s="67" t="s">
        <v>156</v>
      </c>
      <c r="M81" s="69" t="s">
        <v>11</v>
      </c>
      <c r="N81" s="203">
        <v>70</v>
      </c>
      <c r="O81" s="203">
        <v>70</v>
      </c>
      <c r="P81" s="203">
        <v>72</v>
      </c>
      <c r="Q81" s="203" t="s">
        <v>19</v>
      </c>
      <c r="R81" s="202"/>
    </row>
    <row r="82" spans="1:19" s="175" customFormat="1" ht="25.5" x14ac:dyDescent="0.2">
      <c r="A82" s="393"/>
      <c r="B82" s="394"/>
      <c r="C82" s="395"/>
      <c r="D82" s="395"/>
      <c r="E82" s="401"/>
      <c r="F82" s="401"/>
      <c r="G82" s="401"/>
      <c r="H82" s="401"/>
      <c r="I82" s="401"/>
      <c r="J82" s="399"/>
      <c r="K82" s="69" t="s">
        <v>217</v>
      </c>
      <c r="L82" s="67" t="s">
        <v>174</v>
      </c>
      <c r="M82" s="69" t="s">
        <v>11</v>
      </c>
      <c r="N82" s="203">
        <v>47</v>
      </c>
      <c r="O82" s="203">
        <v>47</v>
      </c>
      <c r="P82" s="203">
        <v>47</v>
      </c>
      <c r="Q82" s="203" t="s">
        <v>19</v>
      </c>
      <c r="R82" s="202"/>
    </row>
    <row r="83" spans="1:19" s="175" customFormat="1" x14ac:dyDescent="0.2">
      <c r="A83" s="393"/>
      <c r="B83" s="394"/>
      <c r="C83" s="395"/>
      <c r="D83" s="395"/>
      <c r="E83" s="93" t="s">
        <v>14</v>
      </c>
      <c r="F83" s="94">
        <v>1632.2</v>
      </c>
      <c r="G83" s="343">
        <f>1335+15.4</f>
        <v>1350.4</v>
      </c>
      <c r="H83" s="94">
        <f>ROUND(G83*Lapas1!$A$1,1)</f>
        <v>1471.9</v>
      </c>
      <c r="I83" s="94">
        <f>ROUND(H83*Lapas1!$A$2,1)</f>
        <v>1663.2</v>
      </c>
      <c r="J83" s="95"/>
      <c r="K83" s="95"/>
      <c r="L83" s="96"/>
      <c r="M83" s="96"/>
      <c r="N83" s="205"/>
      <c r="O83" s="205"/>
      <c r="P83" s="205"/>
      <c r="Q83" s="205"/>
      <c r="R83" s="202"/>
    </row>
    <row r="84" spans="1:19" s="175" customFormat="1" x14ac:dyDescent="0.2">
      <c r="A84" s="393"/>
      <c r="B84" s="394"/>
      <c r="C84" s="395"/>
      <c r="D84" s="395"/>
      <c r="E84" s="93" t="s">
        <v>15</v>
      </c>
      <c r="F84" s="94">
        <f>2863.2+4.231</f>
        <v>2867.431</v>
      </c>
      <c r="G84" s="343">
        <f>396.066+3204.7</f>
        <v>3600.7659999999996</v>
      </c>
      <c r="H84" s="94">
        <f>ROUND(G84*Lapas1!$A$1,1)</f>
        <v>3924.8</v>
      </c>
      <c r="I84" s="94">
        <f>ROUND(H84*Lapas1!$A$2,1)</f>
        <v>4435</v>
      </c>
      <c r="J84" s="95"/>
      <c r="K84" s="95"/>
      <c r="L84" s="96"/>
      <c r="M84" s="96"/>
      <c r="N84" s="205"/>
      <c r="O84" s="205"/>
      <c r="P84" s="205"/>
      <c r="Q84" s="205"/>
      <c r="R84" s="202"/>
    </row>
    <row r="85" spans="1:19" s="175" customFormat="1" x14ac:dyDescent="0.2">
      <c r="A85" s="393"/>
      <c r="B85" s="394"/>
      <c r="C85" s="395"/>
      <c r="D85" s="395"/>
      <c r="E85" s="93" t="s">
        <v>17</v>
      </c>
      <c r="F85" s="94">
        <v>123.4</v>
      </c>
      <c r="G85" s="94">
        <v>231.4</v>
      </c>
      <c r="H85" s="94">
        <f>ROUND(G85*Lapas1!$A$1,1)</f>
        <v>252.2</v>
      </c>
      <c r="I85" s="94">
        <f>ROUND(H85*Lapas1!$A$2,1)</f>
        <v>285</v>
      </c>
      <c r="J85" s="95"/>
      <c r="K85" s="95"/>
      <c r="L85" s="96"/>
      <c r="M85" s="96"/>
      <c r="N85" s="205"/>
      <c r="O85" s="205"/>
      <c r="P85" s="205"/>
      <c r="Q85" s="205"/>
      <c r="R85" s="202"/>
    </row>
    <row r="86" spans="1:19" s="175" customFormat="1" x14ac:dyDescent="0.2">
      <c r="A86" s="393"/>
      <c r="B86" s="394"/>
      <c r="C86" s="395"/>
      <c r="D86" s="395"/>
      <c r="E86" s="98" t="s">
        <v>22</v>
      </c>
      <c r="F86" s="99">
        <f>SUM(F83:F85)</f>
        <v>4623.0309999999999</v>
      </c>
      <c r="G86" s="159">
        <f t="shared" ref="G86" si="16">SUM(G83:G85)</f>
        <v>5182.5659999999989</v>
      </c>
      <c r="H86" s="99">
        <f t="shared" ref="H86" si="17">SUM(H83:H85)</f>
        <v>5648.9000000000005</v>
      </c>
      <c r="I86" s="99">
        <f t="shared" ref="I86" si="18">SUM(I83:I85)</f>
        <v>6383.2</v>
      </c>
      <c r="J86" s="95"/>
      <c r="K86" s="95"/>
      <c r="L86" s="96"/>
      <c r="M86" s="96"/>
      <c r="N86" s="205"/>
      <c r="O86" s="205"/>
      <c r="P86" s="205"/>
      <c r="Q86" s="205"/>
      <c r="R86" s="101">
        <f>(G86-F86)/F86</f>
        <v>0.12103206748992143</v>
      </c>
    </row>
    <row r="87" spans="1:19" s="175" customFormat="1" ht="25.5" x14ac:dyDescent="0.2">
      <c r="A87" s="393" t="s">
        <v>0</v>
      </c>
      <c r="B87" s="394" t="s">
        <v>0</v>
      </c>
      <c r="C87" s="395" t="s">
        <v>75</v>
      </c>
      <c r="D87" s="395" t="s">
        <v>21</v>
      </c>
      <c r="E87" s="401" t="s">
        <v>34</v>
      </c>
      <c r="F87" s="401"/>
      <c r="G87" s="401"/>
      <c r="H87" s="401"/>
      <c r="I87" s="401"/>
      <c r="J87" s="399" t="s">
        <v>19</v>
      </c>
      <c r="K87" s="69" t="s">
        <v>929</v>
      </c>
      <c r="L87" s="69" t="s">
        <v>150</v>
      </c>
      <c r="M87" s="69" t="s">
        <v>11</v>
      </c>
      <c r="N87" s="203">
        <v>96</v>
      </c>
      <c r="O87" s="203">
        <v>97</v>
      </c>
      <c r="P87" s="203">
        <v>97</v>
      </c>
      <c r="Q87" s="203" t="s">
        <v>19</v>
      </c>
      <c r="R87" s="202"/>
      <c r="S87" s="204"/>
    </row>
    <row r="88" spans="1:19" s="175" customFormat="1" ht="25.5" x14ac:dyDescent="0.2">
      <c r="A88" s="393"/>
      <c r="B88" s="394"/>
      <c r="C88" s="395"/>
      <c r="D88" s="395"/>
      <c r="E88" s="401"/>
      <c r="F88" s="401"/>
      <c r="G88" s="401"/>
      <c r="H88" s="401"/>
      <c r="I88" s="401"/>
      <c r="J88" s="399"/>
      <c r="K88" s="69" t="s">
        <v>930</v>
      </c>
      <c r="L88" s="67" t="s">
        <v>33</v>
      </c>
      <c r="M88" s="69" t="s">
        <v>11</v>
      </c>
      <c r="N88" s="203">
        <v>21</v>
      </c>
      <c r="O88" s="203">
        <v>16</v>
      </c>
      <c r="P88" s="203">
        <v>16</v>
      </c>
      <c r="Q88" s="203" t="s">
        <v>19</v>
      </c>
      <c r="R88" s="202"/>
      <c r="S88" s="204"/>
    </row>
    <row r="89" spans="1:19" s="175" customFormat="1" x14ac:dyDescent="0.2">
      <c r="A89" s="393"/>
      <c r="B89" s="394"/>
      <c r="C89" s="395"/>
      <c r="D89" s="395"/>
      <c r="E89" s="401"/>
      <c r="F89" s="401"/>
      <c r="G89" s="401"/>
      <c r="H89" s="401"/>
      <c r="I89" s="401"/>
      <c r="J89" s="399"/>
      <c r="K89" s="69" t="s">
        <v>931</v>
      </c>
      <c r="L89" s="67" t="s">
        <v>154</v>
      </c>
      <c r="M89" s="69" t="s">
        <v>11</v>
      </c>
      <c r="N89" s="203">
        <v>100</v>
      </c>
      <c r="O89" s="203">
        <v>100</v>
      </c>
      <c r="P89" s="203">
        <v>100</v>
      </c>
      <c r="Q89" s="203" t="s">
        <v>19</v>
      </c>
      <c r="R89" s="202"/>
      <c r="S89" s="204"/>
    </row>
    <row r="90" spans="1:19" s="175" customFormat="1" ht="25.5" x14ac:dyDescent="0.2">
      <c r="A90" s="393"/>
      <c r="B90" s="394"/>
      <c r="C90" s="395"/>
      <c r="D90" s="395"/>
      <c r="E90" s="401"/>
      <c r="F90" s="401"/>
      <c r="G90" s="401"/>
      <c r="H90" s="401"/>
      <c r="I90" s="401"/>
      <c r="J90" s="399"/>
      <c r="K90" s="69" t="s">
        <v>932</v>
      </c>
      <c r="L90" s="67" t="s">
        <v>155</v>
      </c>
      <c r="M90" s="69" t="s">
        <v>94</v>
      </c>
      <c r="N90" s="203">
        <v>0.5</v>
      </c>
      <c r="O90" s="203">
        <v>0.5</v>
      </c>
      <c r="P90" s="203">
        <v>0.5</v>
      </c>
      <c r="Q90" s="203" t="s">
        <v>19</v>
      </c>
      <c r="R90" s="202"/>
    </row>
    <row r="91" spans="1:19" s="175" customFormat="1" ht="25.5" x14ac:dyDescent="0.2">
      <c r="A91" s="393"/>
      <c r="B91" s="394"/>
      <c r="C91" s="395"/>
      <c r="D91" s="395"/>
      <c r="E91" s="401"/>
      <c r="F91" s="401"/>
      <c r="G91" s="401"/>
      <c r="H91" s="401"/>
      <c r="I91" s="401"/>
      <c r="J91" s="399"/>
      <c r="K91" s="69" t="s">
        <v>933</v>
      </c>
      <c r="L91" s="67" t="s">
        <v>156</v>
      </c>
      <c r="M91" s="69" t="s">
        <v>11</v>
      </c>
      <c r="N91" s="203">
        <v>42.8</v>
      </c>
      <c r="O91" s="203">
        <v>43</v>
      </c>
      <c r="P91" s="203">
        <v>43</v>
      </c>
      <c r="Q91" s="203" t="s">
        <v>19</v>
      </c>
      <c r="R91" s="202"/>
    </row>
    <row r="92" spans="1:19" s="175" customFormat="1" ht="25.5" x14ac:dyDescent="0.2">
      <c r="A92" s="393"/>
      <c r="B92" s="394"/>
      <c r="C92" s="395"/>
      <c r="D92" s="395"/>
      <c r="E92" s="401"/>
      <c r="F92" s="401"/>
      <c r="G92" s="401"/>
      <c r="H92" s="401"/>
      <c r="I92" s="401"/>
      <c r="J92" s="399"/>
      <c r="K92" s="69" t="s">
        <v>934</v>
      </c>
      <c r="L92" s="67" t="s">
        <v>174</v>
      </c>
      <c r="M92" s="69" t="s">
        <v>11</v>
      </c>
      <c r="N92" s="203">
        <v>29</v>
      </c>
      <c r="O92" s="203">
        <v>29</v>
      </c>
      <c r="P92" s="203">
        <v>29</v>
      </c>
      <c r="Q92" s="203" t="s">
        <v>19</v>
      </c>
      <c r="R92" s="202"/>
    </row>
    <row r="93" spans="1:19" s="175" customFormat="1" x14ac:dyDescent="0.2">
      <c r="A93" s="393"/>
      <c r="B93" s="394"/>
      <c r="C93" s="395"/>
      <c r="D93" s="395"/>
      <c r="E93" s="93" t="s">
        <v>14</v>
      </c>
      <c r="F93" s="94">
        <v>457.7</v>
      </c>
      <c r="G93" s="343">
        <f>529.9+12.2</f>
        <v>542.1</v>
      </c>
      <c r="H93" s="94">
        <f>ROUND(G93*Lapas1!$A$1,1)</f>
        <v>590.9</v>
      </c>
      <c r="I93" s="94">
        <f>ROUND(H93*Lapas1!$A$2,1)</f>
        <v>667.7</v>
      </c>
      <c r="J93" s="95"/>
      <c r="K93" s="95"/>
      <c r="L93" s="96"/>
      <c r="M93" s="96"/>
      <c r="N93" s="205"/>
      <c r="O93" s="205"/>
      <c r="P93" s="205"/>
      <c r="Q93" s="205"/>
      <c r="R93" s="202"/>
    </row>
    <row r="94" spans="1:19" s="175" customFormat="1" x14ac:dyDescent="0.2">
      <c r="A94" s="393"/>
      <c r="B94" s="394"/>
      <c r="C94" s="395"/>
      <c r="D94" s="395"/>
      <c r="E94" s="93" t="s">
        <v>15</v>
      </c>
      <c r="F94" s="94">
        <v>2069.6</v>
      </c>
      <c r="G94" s="343">
        <v>2473</v>
      </c>
      <c r="H94" s="94">
        <f>ROUND(G94*Lapas1!$A$1,1)</f>
        <v>2695.6</v>
      </c>
      <c r="I94" s="94">
        <f>ROUND(H94*Lapas1!$A$2,1)</f>
        <v>3046</v>
      </c>
      <c r="J94" s="95"/>
      <c r="K94" s="95"/>
      <c r="L94" s="96"/>
      <c r="M94" s="96"/>
      <c r="N94" s="205"/>
      <c r="O94" s="205"/>
      <c r="P94" s="205"/>
      <c r="Q94" s="205"/>
      <c r="R94" s="202"/>
    </row>
    <row r="95" spans="1:19" s="175" customFormat="1" x14ac:dyDescent="0.2">
      <c r="A95" s="393"/>
      <c r="B95" s="394"/>
      <c r="C95" s="395"/>
      <c r="D95" s="395"/>
      <c r="E95" s="93" t="s">
        <v>17</v>
      </c>
      <c r="F95" s="94">
        <v>7</v>
      </c>
      <c r="G95" s="343">
        <v>7.7</v>
      </c>
      <c r="H95" s="94">
        <f>ROUND(G95*Lapas1!$A$1,1)</f>
        <v>8.4</v>
      </c>
      <c r="I95" s="94">
        <f>ROUND(H95*Lapas1!$A$2,1)</f>
        <v>9.5</v>
      </c>
      <c r="J95" s="95"/>
      <c r="K95" s="95"/>
      <c r="L95" s="96"/>
      <c r="M95" s="96"/>
      <c r="N95" s="205"/>
      <c r="O95" s="205"/>
      <c r="P95" s="205"/>
      <c r="Q95" s="205"/>
      <c r="R95" s="202"/>
    </row>
    <row r="96" spans="1:19" s="175" customFormat="1" x14ac:dyDescent="0.2">
      <c r="A96" s="393"/>
      <c r="B96" s="394"/>
      <c r="C96" s="395"/>
      <c r="D96" s="395"/>
      <c r="E96" s="98" t="s">
        <v>22</v>
      </c>
      <c r="F96" s="99">
        <f>SUM(F93:F95)</f>
        <v>2534.2999999999997</v>
      </c>
      <c r="G96" s="159">
        <f t="shared" ref="G96:I96" si="19">SUM(G93:G95)</f>
        <v>3022.7999999999997</v>
      </c>
      <c r="H96" s="159">
        <f t="shared" si="19"/>
        <v>3294.9</v>
      </c>
      <c r="I96" s="159">
        <f t="shared" si="19"/>
        <v>3723.2</v>
      </c>
      <c r="J96" s="95"/>
      <c r="K96" s="95"/>
      <c r="L96" s="96"/>
      <c r="M96" s="96"/>
      <c r="N96" s="205"/>
      <c r="O96" s="205"/>
      <c r="P96" s="205"/>
      <c r="Q96" s="205"/>
      <c r="R96" s="101">
        <f>(G96-F96)/F96</f>
        <v>0.19275539596732827</v>
      </c>
    </row>
    <row r="97" spans="1:23" s="175" customFormat="1" x14ac:dyDescent="0.2">
      <c r="A97" s="393" t="s">
        <v>0</v>
      </c>
      <c r="B97" s="394" t="s">
        <v>0</v>
      </c>
      <c r="C97" s="395" t="s">
        <v>104</v>
      </c>
      <c r="D97" s="399" t="s">
        <v>21</v>
      </c>
      <c r="E97" s="401" t="s">
        <v>224</v>
      </c>
      <c r="F97" s="401"/>
      <c r="G97" s="401"/>
      <c r="H97" s="401"/>
      <c r="I97" s="401"/>
      <c r="J97" s="399" t="s">
        <v>19</v>
      </c>
      <c r="K97" s="102" t="s">
        <v>935</v>
      </c>
      <c r="L97" s="103" t="s">
        <v>154</v>
      </c>
      <c r="M97" s="102" t="s">
        <v>11</v>
      </c>
      <c r="N97" s="203">
        <v>100</v>
      </c>
      <c r="O97" s="203">
        <v>100</v>
      </c>
      <c r="P97" s="203">
        <v>100</v>
      </c>
      <c r="Q97" s="203" t="s">
        <v>19</v>
      </c>
      <c r="R97" s="202"/>
      <c r="S97" s="204"/>
      <c r="T97" s="2"/>
      <c r="U97" s="2"/>
      <c r="V97" s="2"/>
      <c r="W97" s="2"/>
    </row>
    <row r="98" spans="1:23" s="175" customFormat="1" x14ac:dyDescent="0.2">
      <c r="A98" s="393"/>
      <c r="B98" s="394"/>
      <c r="C98" s="395"/>
      <c r="D98" s="399"/>
      <c r="E98" s="401"/>
      <c r="F98" s="401"/>
      <c r="G98" s="401"/>
      <c r="H98" s="401"/>
      <c r="I98" s="401"/>
      <c r="J98" s="399"/>
      <c r="K98" s="102" t="s">
        <v>936</v>
      </c>
      <c r="L98" s="103" t="s">
        <v>118</v>
      </c>
      <c r="M98" s="102" t="s">
        <v>35</v>
      </c>
      <c r="N98" s="203">
        <v>220</v>
      </c>
      <c r="O98" s="203">
        <v>220</v>
      </c>
      <c r="P98" s="203">
        <v>220</v>
      </c>
      <c r="Q98" s="203" t="s">
        <v>19</v>
      </c>
      <c r="R98" s="202"/>
      <c r="S98" s="392"/>
      <c r="T98" s="392"/>
      <c r="U98" s="392"/>
      <c r="V98" s="2"/>
      <c r="W98" s="2"/>
    </row>
    <row r="99" spans="1:23" s="175" customFormat="1" ht="25.5" x14ac:dyDescent="0.2">
      <c r="A99" s="393"/>
      <c r="B99" s="394"/>
      <c r="C99" s="395"/>
      <c r="D99" s="399"/>
      <c r="E99" s="401"/>
      <c r="F99" s="401"/>
      <c r="G99" s="401"/>
      <c r="H99" s="401"/>
      <c r="I99" s="401"/>
      <c r="J99" s="399"/>
      <c r="K99" s="102" t="s">
        <v>937</v>
      </c>
      <c r="L99" s="103" t="s">
        <v>38</v>
      </c>
      <c r="M99" s="102" t="s">
        <v>35</v>
      </c>
      <c r="N99" s="203">
        <v>130</v>
      </c>
      <c r="O99" s="203">
        <v>130</v>
      </c>
      <c r="P99" s="203">
        <v>130</v>
      </c>
      <c r="Q99" s="203" t="s">
        <v>19</v>
      </c>
      <c r="R99" s="202"/>
    </row>
    <row r="100" spans="1:23" s="175" customFormat="1" ht="38.25" x14ac:dyDescent="0.2">
      <c r="A100" s="393"/>
      <c r="B100" s="394"/>
      <c r="C100" s="395"/>
      <c r="D100" s="399"/>
      <c r="E100" s="401"/>
      <c r="F100" s="401"/>
      <c r="G100" s="401"/>
      <c r="H100" s="401"/>
      <c r="I100" s="401"/>
      <c r="J100" s="399"/>
      <c r="K100" s="102" t="s">
        <v>938</v>
      </c>
      <c r="L100" s="103" t="s">
        <v>39</v>
      </c>
      <c r="M100" s="102" t="s">
        <v>11</v>
      </c>
      <c r="N100" s="203">
        <v>65</v>
      </c>
      <c r="O100" s="203">
        <v>65</v>
      </c>
      <c r="P100" s="203">
        <v>65</v>
      </c>
      <c r="Q100" s="203" t="s">
        <v>19</v>
      </c>
      <c r="R100" s="202"/>
    </row>
    <row r="101" spans="1:23" s="175" customFormat="1" x14ac:dyDescent="0.2">
      <c r="A101" s="393"/>
      <c r="B101" s="394"/>
      <c r="C101" s="395"/>
      <c r="D101" s="399"/>
      <c r="E101" s="401"/>
      <c r="F101" s="401"/>
      <c r="G101" s="401"/>
      <c r="H101" s="401"/>
      <c r="I101" s="401"/>
      <c r="J101" s="399"/>
      <c r="K101" s="102" t="s">
        <v>939</v>
      </c>
      <c r="L101" s="103" t="s">
        <v>115</v>
      </c>
      <c r="M101" s="102" t="s">
        <v>12</v>
      </c>
      <c r="N101" s="203">
        <v>30</v>
      </c>
      <c r="O101" s="203">
        <v>30</v>
      </c>
      <c r="P101" s="203">
        <v>30</v>
      </c>
      <c r="Q101" s="203" t="s">
        <v>19</v>
      </c>
      <c r="R101" s="202"/>
    </row>
    <row r="102" spans="1:23" s="175" customFormat="1" x14ac:dyDescent="0.2">
      <c r="A102" s="393"/>
      <c r="B102" s="394"/>
      <c r="C102" s="395"/>
      <c r="D102" s="399"/>
      <c r="E102" s="401"/>
      <c r="F102" s="401"/>
      <c r="G102" s="401"/>
      <c r="H102" s="401"/>
      <c r="I102" s="401"/>
      <c r="J102" s="399"/>
      <c r="K102" s="102" t="s">
        <v>192</v>
      </c>
      <c r="L102" s="103" t="s">
        <v>84</v>
      </c>
      <c r="M102" s="102" t="s">
        <v>35</v>
      </c>
      <c r="N102" s="203">
        <v>1500</v>
      </c>
      <c r="O102" s="203">
        <v>1500</v>
      </c>
      <c r="P102" s="203">
        <v>1500</v>
      </c>
      <c r="Q102" s="203" t="s">
        <v>19</v>
      </c>
      <c r="R102" s="202"/>
    </row>
    <row r="103" spans="1:23" s="175" customFormat="1" x14ac:dyDescent="0.2">
      <c r="A103" s="393"/>
      <c r="B103" s="394"/>
      <c r="C103" s="395"/>
      <c r="D103" s="399"/>
      <c r="E103" s="93" t="s">
        <v>14</v>
      </c>
      <c r="F103" s="94">
        <v>519</v>
      </c>
      <c r="G103" s="343">
        <v>630.9</v>
      </c>
      <c r="H103" s="94">
        <f>ROUND(G103*Lapas1!$A$1,1)</f>
        <v>687.7</v>
      </c>
      <c r="I103" s="94">
        <f>ROUND(H103*Lapas1!$A$2,1)</f>
        <v>777.1</v>
      </c>
      <c r="J103" s="95"/>
      <c r="K103" s="95"/>
      <c r="L103" s="96"/>
      <c r="M103" s="96"/>
      <c r="N103" s="205"/>
      <c r="O103" s="205"/>
      <c r="P103" s="205"/>
      <c r="Q103" s="205"/>
      <c r="R103" s="202"/>
    </row>
    <row r="104" spans="1:23" s="175" customFormat="1" x14ac:dyDescent="0.2">
      <c r="A104" s="393"/>
      <c r="B104" s="394"/>
      <c r="C104" s="395"/>
      <c r="D104" s="399"/>
      <c r="E104" s="93" t="s">
        <v>15</v>
      </c>
      <c r="F104" s="94">
        <v>15.3</v>
      </c>
      <c r="G104" s="94">
        <v>17.399999999999999</v>
      </c>
      <c r="H104" s="94">
        <f>ROUND(G104*Lapas1!$A$1,1)</f>
        <v>19</v>
      </c>
      <c r="I104" s="94">
        <f>ROUND(H104*Lapas1!$A$2,1)</f>
        <v>21.5</v>
      </c>
      <c r="J104" s="95"/>
      <c r="K104" s="95"/>
      <c r="L104" s="96"/>
      <c r="M104" s="96"/>
      <c r="N104" s="205"/>
      <c r="O104" s="205"/>
      <c r="P104" s="205"/>
      <c r="Q104" s="205"/>
      <c r="R104" s="202"/>
    </row>
    <row r="105" spans="1:23" s="175" customFormat="1" x14ac:dyDescent="0.2">
      <c r="A105" s="393"/>
      <c r="B105" s="394"/>
      <c r="C105" s="395"/>
      <c r="D105" s="399"/>
      <c r="E105" s="93" t="s">
        <v>17</v>
      </c>
      <c r="F105" s="94">
        <v>25</v>
      </c>
      <c r="G105" s="94">
        <v>26</v>
      </c>
      <c r="H105" s="94">
        <f>ROUND(G105*Lapas1!$A$1,1)</f>
        <v>28.3</v>
      </c>
      <c r="I105" s="94">
        <f>ROUND(H105*Lapas1!$A$2,1)</f>
        <v>32</v>
      </c>
      <c r="J105" s="95"/>
      <c r="K105" s="95"/>
      <c r="L105" s="96"/>
      <c r="M105" s="96"/>
      <c r="N105" s="205"/>
      <c r="O105" s="205"/>
      <c r="P105" s="205"/>
      <c r="Q105" s="205"/>
      <c r="R105" s="202"/>
    </row>
    <row r="106" spans="1:23" s="175" customFormat="1" x14ac:dyDescent="0.2">
      <c r="A106" s="393"/>
      <c r="B106" s="394"/>
      <c r="C106" s="395"/>
      <c r="D106" s="399"/>
      <c r="E106" s="98" t="s">
        <v>22</v>
      </c>
      <c r="F106" s="99">
        <f>SUM(F103:F105)</f>
        <v>559.29999999999995</v>
      </c>
      <c r="G106" s="159">
        <f t="shared" ref="G106" si="20">SUM(G103:G105)</f>
        <v>674.3</v>
      </c>
      <c r="H106" s="99">
        <f t="shared" ref="H106" si="21">SUM(H103:H105)</f>
        <v>735</v>
      </c>
      <c r="I106" s="99">
        <f t="shared" ref="I106" si="22">SUM(I103:I105)</f>
        <v>830.6</v>
      </c>
      <c r="J106" s="95"/>
      <c r="K106" s="95"/>
      <c r="L106" s="96"/>
      <c r="M106" s="96"/>
      <c r="N106" s="205"/>
      <c r="O106" s="205"/>
      <c r="P106" s="205"/>
      <c r="Q106" s="205"/>
      <c r="R106" s="101">
        <f>(G106-F106)/F106</f>
        <v>0.20561416055784018</v>
      </c>
    </row>
    <row r="107" spans="1:23" s="175" customFormat="1" x14ac:dyDescent="0.2">
      <c r="A107" s="393" t="s">
        <v>0</v>
      </c>
      <c r="B107" s="394" t="s">
        <v>0</v>
      </c>
      <c r="C107" s="395" t="s">
        <v>105</v>
      </c>
      <c r="D107" s="395" t="s">
        <v>21</v>
      </c>
      <c r="E107" s="401" t="s">
        <v>225</v>
      </c>
      <c r="F107" s="401"/>
      <c r="G107" s="401"/>
      <c r="H107" s="401"/>
      <c r="I107" s="401"/>
      <c r="J107" s="399" t="s">
        <v>19</v>
      </c>
      <c r="K107" s="102" t="s">
        <v>429</v>
      </c>
      <c r="L107" s="103" t="s">
        <v>154</v>
      </c>
      <c r="M107" s="102" t="s">
        <v>11</v>
      </c>
      <c r="N107" s="203">
        <v>100</v>
      </c>
      <c r="O107" s="203">
        <v>100</v>
      </c>
      <c r="P107" s="203">
        <v>100</v>
      </c>
      <c r="Q107" s="203" t="s">
        <v>19</v>
      </c>
      <c r="R107" s="202"/>
      <c r="S107" s="206"/>
      <c r="T107" s="2"/>
      <c r="U107" s="2"/>
      <c r="V107" s="2"/>
      <c r="W107" s="2"/>
    </row>
    <row r="108" spans="1:23" s="175" customFormat="1" x14ac:dyDescent="0.2">
      <c r="A108" s="393"/>
      <c r="B108" s="394"/>
      <c r="C108" s="395"/>
      <c r="D108" s="395"/>
      <c r="E108" s="401"/>
      <c r="F108" s="401"/>
      <c r="G108" s="401"/>
      <c r="H108" s="401"/>
      <c r="I108" s="401"/>
      <c r="J108" s="399"/>
      <c r="K108" s="102" t="s">
        <v>940</v>
      </c>
      <c r="L108" s="103" t="s">
        <v>37</v>
      </c>
      <c r="M108" s="102" t="s">
        <v>35</v>
      </c>
      <c r="N108" s="203">
        <v>602</v>
      </c>
      <c r="O108" s="203">
        <v>602</v>
      </c>
      <c r="P108" s="203">
        <v>602</v>
      </c>
      <c r="Q108" s="203" t="s">
        <v>19</v>
      </c>
      <c r="R108" s="202"/>
      <c r="S108" s="4"/>
      <c r="T108" s="2"/>
      <c r="U108" s="2"/>
      <c r="V108" s="2"/>
      <c r="W108" s="2"/>
    </row>
    <row r="109" spans="1:23" s="175" customFormat="1" ht="25.5" x14ac:dyDescent="0.2">
      <c r="A109" s="393"/>
      <c r="B109" s="394"/>
      <c r="C109" s="395"/>
      <c r="D109" s="395"/>
      <c r="E109" s="401"/>
      <c r="F109" s="401"/>
      <c r="G109" s="401"/>
      <c r="H109" s="401"/>
      <c r="I109" s="401"/>
      <c r="J109" s="399"/>
      <c r="K109" s="102" t="s">
        <v>941</v>
      </c>
      <c r="L109" s="103" t="s">
        <v>38</v>
      </c>
      <c r="M109" s="102" t="s">
        <v>35</v>
      </c>
      <c r="N109" s="203">
        <v>450</v>
      </c>
      <c r="O109" s="203">
        <v>450</v>
      </c>
      <c r="P109" s="203">
        <v>450</v>
      </c>
      <c r="Q109" s="203" t="s">
        <v>19</v>
      </c>
      <c r="R109" s="202"/>
      <c r="S109" s="5"/>
      <c r="T109" s="135"/>
      <c r="U109" s="135"/>
      <c r="V109" s="135"/>
      <c r="W109" s="135"/>
    </row>
    <row r="110" spans="1:23" s="175" customFormat="1" ht="38.25" x14ac:dyDescent="0.2">
      <c r="A110" s="393"/>
      <c r="B110" s="394"/>
      <c r="C110" s="395"/>
      <c r="D110" s="395"/>
      <c r="E110" s="401"/>
      <c r="F110" s="401"/>
      <c r="G110" s="401"/>
      <c r="H110" s="401"/>
      <c r="I110" s="401"/>
      <c r="J110" s="399"/>
      <c r="K110" s="102" t="s">
        <v>942</v>
      </c>
      <c r="L110" s="103" t="s">
        <v>39</v>
      </c>
      <c r="M110" s="102" t="s">
        <v>11</v>
      </c>
      <c r="N110" s="203">
        <v>95</v>
      </c>
      <c r="O110" s="203">
        <v>95</v>
      </c>
      <c r="P110" s="203">
        <v>95</v>
      </c>
      <c r="Q110" s="203" t="s">
        <v>19</v>
      </c>
      <c r="R110" s="202"/>
      <c r="S110" s="206"/>
    </row>
    <row r="111" spans="1:23" s="175" customFormat="1" x14ac:dyDescent="0.2">
      <c r="A111" s="393"/>
      <c r="B111" s="394"/>
      <c r="C111" s="395"/>
      <c r="D111" s="395"/>
      <c r="E111" s="401"/>
      <c r="F111" s="401"/>
      <c r="G111" s="401"/>
      <c r="H111" s="401"/>
      <c r="I111" s="401"/>
      <c r="J111" s="399"/>
      <c r="K111" s="102" t="s">
        <v>943</v>
      </c>
      <c r="L111" s="103" t="s">
        <v>115</v>
      </c>
      <c r="M111" s="102" t="s">
        <v>12</v>
      </c>
      <c r="N111" s="203">
        <v>62</v>
      </c>
      <c r="O111" s="203">
        <v>62</v>
      </c>
      <c r="P111" s="203">
        <v>62</v>
      </c>
      <c r="Q111" s="203" t="s">
        <v>19</v>
      </c>
      <c r="R111" s="202"/>
      <c r="S111" s="206"/>
    </row>
    <row r="112" spans="1:23" s="175" customFormat="1" x14ac:dyDescent="0.2">
      <c r="A112" s="393"/>
      <c r="B112" s="394"/>
      <c r="C112" s="395"/>
      <c r="D112" s="395"/>
      <c r="E112" s="401"/>
      <c r="F112" s="401"/>
      <c r="G112" s="401"/>
      <c r="H112" s="401"/>
      <c r="I112" s="401"/>
      <c r="J112" s="399"/>
      <c r="K112" s="102" t="s">
        <v>944</v>
      </c>
      <c r="L112" s="103" t="s">
        <v>84</v>
      </c>
      <c r="M112" s="102" t="s">
        <v>35</v>
      </c>
      <c r="N112" s="203">
        <v>8800</v>
      </c>
      <c r="O112" s="203">
        <v>8800</v>
      </c>
      <c r="P112" s="203">
        <v>8800</v>
      </c>
      <c r="Q112" s="203" t="s">
        <v>19</v>
      </c>
      <c r="R112" s="202"/>
      <c r="S112" s="206"/>
    </row>
    <row r="113" spans="1:23" s="175" customFormat="1" x14ac:dyDescent="0.2">
      <c r="A113" s="393"/>
      <c r="B113" s="394"/>
      <c r="C113" s="395"/>
      <c r="D113" s="395"/>
      <c r="E113" s="93" t="s">
        <v>14</v>
      </c>
      <c r="F113" s="94">
        <v>1397.5</v>
      </c>
      <c r="G113" s="343">
        <f>1616.8+2.7</f>
        <v>1619.5</v>
      </c>
      <c r="H113" s="94">
        <f>ROUND(G113*Lapas1!$A$1,1)</f>
        <v>1765.3</v>
      </c>
      <c r="I113" s="94">
        <f>ROUND(H113*Lapas1!$A$2,1)</f>
        <v>1994.8</v>
      </c>
      <c r="J113" s="95"/>
      <c r="K113" s="95"/>
      <c r="L113" s="96"/>
      <c r="M113" s="96"/>
      <c r="N113" s="205"/>
      <c r="O113" s="205"/>
      <c r="P113" s="205"/>
      <c r="Q113" s="205"/>
      <c r="R113" s="202"/>
    </row>
    <row r="114" spans="1:23" s="175" customFormat="1" x14ac:dyDescent="0.2">
      <c r="A114" s="393"/>
      <c r="B114" s="394"/>
      <c r="C114" s="395"/>
      <c r="D114" s="395"/>
      <c r="E114" s="93" t="s">
        <v>15</v>
      </c>
      <c r="F114" s="94">
        <f>45.8+335</f>
        <v>380.8</v>
      </c>
      <c r="G114" s="94">
        <f>51.9+350</f>
        <v>401.9</v>
      </c>
      <c r="H114" s="94">
        <f>ROUND(G114*Lapas1!$A$1,1)</f>
        <v>438.1</v>
      </c>
      <c r="I114" s="94">
        <f>ROUND(H114*Lapas1!$A$2,1)</f>
        <v>495.1</v>
      </c>
      <c r="J114" s="95"/>
      <c r="K114" s="95"/>
      <c r="L114" s="96"/>
      <c r="M114" s="96"/>
      <c r="N114" s="205"/>
      <c r="O114" s="205"/>
      <c r="P114" s="205"/>
      <c r="Q114" s="205"/>
      <c r="R114" s="202"/>
    </row>
    <row r="115" spans="1:23" s="175" customFormat="1" x14ac:dyDescent="0.2">
      <c r="A115" s="393"/>
      <c r="B115" s="394"/>
      <c r="C115" s="395"/>
      <c r="D115" s="395"/>
      <c r="E115" s="93" t="s">
        <v>17</v>
      </c>
      <c r="F115" s="94">
        <v>115.8</v>
      </c>
      <c r="G115" s="94">
        <v>114.7</v>
      </c>
      <c r="H115" s="94">
        <f>ROUND(G115*Lapas1!$A$1,1)</f>
        <v>125</v>
      </c>
      <c r="I115" s="94">
        <f>ROUND(H115*Lapas1!$A$2,1)</f>
        <v>141.30000000000001</v>
      </c>
      <c r="J115" s="95"/>
      <c r="K115" s="95"/>
      <c r="L115" s="96"/>
      <c r="M115" s="96"/>
      <c r="N115" s="205"/>
      <c r="O115" s="205"/>
      <c r="P115" s="205"/>
      <c r="Q115" s="205"/>
      <c r="R115" s="202"/>
    </row>
    <row r="116" spans="1:23" s="175" customFormat="1" x14ac:dyDescent="0.2">
      <c r="A116" s="393"/>
      <c r="B116" s="394"/>
      <c r="C116" s="395"/>
      <c r="D116" s="395"/>
      <c r="E116" s="98" t="s">
        <v>22</v>
      </c>
      <c r="F116" s="99">
        <f>SUM(F113:F115)</f>
        <v>1894.1</v>
      </c>
      <c r="G116" s="159">
        <f t="shared" ref="G116" si="23">SUM(G113:G115)</f>
        <v>2136.1</v>
      </c>
      <c r="H116" s="99">
        <f t="shared" ref="H116" si="24">SUM(H113:H115)</f>
        <v>2328.4</v>
      </c>
      <c r="I116" s="99">
        <f t="shared" ref="I116" si="25">SUM(I113:I115)</f>
        <v>2631.2000000000003</v>
      </c>
      <c r="J116" s="95"/>
      <c r="K116" s="95"/>
      <c r="L116" s="96"/>
      <c r="M116" s="96"/>
      <c r="N116" s="205"/>
      <c r="O116" s="205"/>
      <c r="P116" s="205"/>
      <c r="Q116" s="205"/>
      <c r="R116" s="101">
        <f>(G116-F116)/F116</f>
        <v>0.12776516551396441</v>
      </c>
    </row>
    <row r="117" spans="1:23" s="175" customFormat="1" x14ac:dyDescent="0.2">
      <c r="A117" s="393" t="s">
        <v>0</v>
      </c>
      <c r="B117" s="394" t="s">
        <v>0</v>
      </c>
      <c r="C117" s="395" t="s">
        <v>113</v>
      </c>
      <c r="D117" s="395" t="s">
        <v>21</v>
      </c>
      <c r="E117" s="401" t="s">
        <v>226</v>
      </c>
      <c r="F117" s="401"/>
      <c r="G117" s="401"/>
      <c r="H117" s="401"/>
      <c r="I117" s="401"/>
      <c r="J117" s="399" t="s">
        <v>19</v>
      </c>
      <c r="K117" s="102" t="s">
        <v>945</v>
      </c>
      <c r="L117" s="103" t="s">
        <v>119</v>
      </c>
      <c r="M117" s="102" t="s">
        <v>35</v>
      </c>
      <c r="N117" s="203">
        <v>75</v>
      </c>
      <c r="O117" s="203">
        <v>75</v>
      </c>
      <c r="P117" s="203">
        <v>75</v>
      </c>
      <c r="Q117" s="203" t="s">
        <v>19</v>
      </c>
      <c r="R117" s="202"/>
      <c r="S117" s="397"/>
      <c r="T117" s="397"/>
      <c r="U117" s="397"/>
      <c r="V117" s="397"/>
      <c r="W117" s="397"/>
    </row>
    <row r="118" spans="1:23" s="175" customFormat="1" x14ac:dyDescent="0.2">
      <c r="A118" s="393"/>
      <c r="B118" s="394"/>
      <c r="C118" s="395"/>
      <c r="D118" s="395"/>
      <c r="E118" s="401"/>
      <c r="F118" s="401"/>
      <c r="G118" s="401"/>
      <c r="H118" s="401"/>
      <c r="I118" s="401"/>
      <c r="J118" s="399"/>
      <c r="K118" s="102" t="s">
        <v>178</v>
      </c>
      <c r="L118" s="103" t="s">
        <v>118</v>
      </c>
      <c r="M118" s="102" t="s">
        <v>35</v>
      </c>
      <c r="N118" s="203">
        <v>600</v>
      </c>
      <c r="O118" s="203">
        <v>600</v>
      </c>
      <c r="P118" s="203">
        <v>600</v>
      </c>
      <c r="Q118" s="203" t="s">
        <v>19</v>
      </c>
      <c r="R118" s="202"/>
      <c r="S118" s="135"/>
      <c r="T118" s="135"/>
      <c r="U118" s="135"/>
      <c r="V118" s="135"/>
      <c r="W118" s="135"/>
    </row>
    <row r="119" spans="1:23" s="175" customFormat="1" x14ac:dyDescent="0.2">
      <c r="A119" s="393"/>
      <c r="B119" s="394"/>
      <c r="C119" s="395"/>
      <c r="D119" s="395"/>
      <c r="E119" s="401"/>
      <c r="F119" s="401"/>
      <c r="G119" s="401"/>
      <c r="H119" s="401"/>
      <c r="I119" s="401"/>
      <c r="J119" s="399"/>
      <c r="K119" s="102" t="s">
        <v>946</v>
      </c>
      <c r="L119" s="103" t="s">
        <v>158</v>
      </c>
      <c r="M119" s="102" t="s">
        <v>11</v>
      </c>
      <c r="N119" s="203">
        <v>60</v>
      </c>
      <c r="O119" s="203">
        <v>70</v>
      </c>
      <c r="P119" s="203">
        <v>75</v>
      </c>
      <c r="Q119" s="203" t="s">
        <v>19</v>
      </c>
      <c r="R119" s="202"/>
      <c r="S119" s="204"/>
    </row>
    <row r="120" spans="1:23" s="175" customFormat="1" x14ac:dyDescent="0.2">
      <c r="A120" s="393"/>
      <c r="B120" s="394"/>
      <c r="C120" s="395"/>
      <c r="D120" s="395"/>
      <c r="E120" s="401"/>
      <c r="F120" s="401"/>
      <c r="G120" s="401"/>
      <c r="H120" s="401"/>
      <c r="I120" s="401"/>
      <c r="J120" s="399"/>
      <c r="K120" s="102" t="s">
        <v>177</v>
      </c>
      <c r="L120" s="103" t="s">
        <v>115</v>
      </c>
      <c r="M120" s="102" t="s">
        <v>12</v>
      </c>
      <c r="N120" s="203">
        <v>45</v>
      </c>
      <c r="O120" s="203">
        <v>50</v>
      </c>
      <c r="P120" s="203">
        <v>50</v>
      </c>
      <c r="Q120" s="203" t="s">
        <v>19</v>
      </c>
      <c r="R120" s="202"/>
    </row>
    <row r="121" spans="1:23" s="175" customFormat="1" x14ac:dyDescent="0.2">
      <c r="A121" s="393"/>
      <c r="B121" s="394"/>
      <c r="C121" s="395"/>
      <c r="D121" s="395"/>
      <c r="E121" s="401"/>
      <c r="F121" s="401"/>
      <c r="G121" s="401"/>
      <c r="H121" s="401"/>
      <c r="I121" s="401"/>
      <c r="J121" s="399"/>
      <c r="K121" s="102" t="s">
        <v>179</v>
      </c>
      <c r="L121" s="103" t="s">
        <v>84</v>
      </c>
      <c r="M121" s="102" t="s">
        <v>35</v>
      </c>
      <c r="N121" s="203">
        <v>4300</v>
      </c>
      <c r="O121" s="203">
        <v>4500</v>
      </c>
      <c r="P121" s="203">
        <v>4500</v>
      </c>
      <c r="Q121" s="203" t="s">
        <v>19</v>
      </c>
      <c r="R121" s="202"/>
    </row>
    <row r="122" spans="1:23" s="175" customFormat="1" x14ac:dyDescent="0.2">
      <c r="A122" s="393"/>
      <c r="B122" s="394"/>
      <c r="C122" s="395"/>
      <c r="D122" s="395"/>
      <c r="E122" s="93" t="s">
        <v>14</v>
      </c>
      <c r="F122" s="94">
        <v>1056.4000000000001</v>
      </c>
      <c r="G122" s="343">
        <f>1400+1.1</f>
        <v>1401.1</v>
      </c>
      <c r="H122" s="94">
        <f>ROUND(G122*Lapas1!$A$1,1)</f>
        <v>1527.2</v>
      </c>
      <c r="I122" s="94">
        <f>ROUND(H122*Lapas1!$A$2,1)</f>
        <v>1725.7</v>
      </c>
      <c r="J122" s="95"/>
      <c r="K122" s="95"/>
      <c r="L122" s="96"/>
      <c r="M122" s="96"/>
      <c r="N122" s="205"/>
      <c r="O122" s="205"/>
      <c r="P122" s="205"/>
      <c r="Q122" s="205"/>
      <c r="R122" s="202"/>
    </row>
    <row r="123" spans="1:23" s="175" customFormat="1" x14ac:dyDescent="0.2">
      <c r="A123" s="393"/>
      <c r="B123" s="394"/>
      <c r="C123" s="395"/>
      <c r="D123" s="395"/>
      <c r="E123" s="93" t="s">
        <v>15</v>
      </c>
      <c r="F123" s="94">
        <v>38.6</v>
      </c>
      <c r="G123" s="343">
        <f>34+47.2</f>
        <v>81.2</v>
      </c>
      <c r="H123" s="94">
        <f>ROUND(G123*Lapas1!$A$1,1)</f>
        <v>88.5</v>
      </c>
      <c r="I123" s="94">
        <f>ROUND(H123*Lapas1!$A$2,1)</f>
        <v>100</v>
      </c>
      <c r="J123" s="95"/>
      <c r="K123" s="95"/>
      <c r="L123" s="96"/>
      <c r="M123" s="96"/>
      <c r="N123" s="205"/>
      <c r="O123" s="205"/>
      <c r="P123" s="205"/>
      <c r="Q123" s="205"/>
      <c r="R123" s="202"/>
    </row>
    <row r="124" spans="1:23" s="175" customFormat="1" x14ac:dyDescent="0.2">
      <c r="A124" s="393"/>
      <c r="B124" s="394"/>
      <c r="C124" s="395"/>
      <c r="D124" s="395"/>
      <c r="E124" s="93" t="s">
        <v>17</v>
      </c>
      <c r="F124" s="94">
        <f>434+2.9+34.3</f>
        <v>471.2</v>
      </c>
      <c r="G124" s="94">
        <f>540+6.631</f>
        <v>546.63099999999997</v>
      </c>
      <c r="H124" s="94">
        <f>ROUND(G124*Lapas1!$A$1,1)</f>
        <v>595.79999999999995</v>
      </c>
      <c r="I124" s="94">
        <f>ROUND(H124*Lapas1!$A$2,1)</f>
        <v>673.3</v>
      </c>
      <c r="J124" s="95"/>
      <c r="K124" s="95"/>
      <c r="L124" s="96"/>
      <c r="M124" s="96"/>
      <c r="N124" s="205"/>
      <c r="O124" s="205"/>
      <c r="P124" s="205"/>
      <c r="Q124" s="205"/>
      <c r="R124" s="202"/>
    </row>
    <row r="125" spans="1:23" s="175" customFormat="1" x14ac:dyDescent="0.2">
      <c r="A125" s="393"/>
      <c r="B125" s="394"/>
      <c r="C125" s="395"/>
      <c r="D125" s="395"/>
      <c r="E125" s="98" t="s">
        <v>22</v>
      </c>
      <c r="F125" s="99">
        <f>SUM(F122:F124)</f>
        <v>1566.2</v>
      </c>
      <c r="G125" s="159">
        <f t="shared" ref="G125" si="26">SUM(G122:G124)</f>
        <v>2028.931</v>
      </c>
      <c r="H125" s="99">
        <f t="shared" ref="H125" si="27">SUM(H122:H124)</f>
        <v>2211.5</v>
      </c>
      <c r="I125" s="99">
        <f t="shared" ref="I125" si="28">SUM(I122:I124)</f>
        <v>2499</v>
      </c>
      <c r="J125" s="95"/>
      <c r="K125" s="95"/>
      <c r="L125" s="96"/>
      <c r="M125" s="96"/>
      <c r="N125" s="205"/>
      <c r="O125" s="205"/>
      <c r="P125" s="205"/>
      <c r="Q125" s="205"/>
      <c r="R125" s="101">
        <f>(G125-F125)/F125</f>
        <v>0.29544821861831183</v>
      </c>
    </row>
    <row r="126" spans="1:23" s="175" customFormat="1" x14ac:dyDescent="0.2">
      <c r="A126" s="393" t="s">
        <v>0</v>
      </c>
      <c r="B126" s="394" t="s">
        <v>0</v>
      </c>
      <c r="C126" s="399">
        <v>12</v>
      </c>
      <c r="D126" s="399" t="s">
        <v>21</v>
      </c>
      <c r="E126" s="401" t="s">
        <v>40</v>
      </c>
      <c r="F126" s="401"/>
      <c r="G126" s="401"/>
      <c r="H126" s="401"/>
      <c r="I126" s="401"/>
      <c r="J126" s="399" t="s">
        <v>19</v>
      </c>
      <c r="K126" s="102" t="s">
        <v>193</v>
      </c>
      <c r="L126" s="103" t="s">
        <v>154</v>
      </c>
      <c r="M126" s="102" t="s">
        <v>11</v>
      </c>
      <c r="N126" s="203">
        <v>100</v>
      </c>
      <c r="O126" s="203">
        <v>100</v>
      </c>
      <c r="P126" s="203">
        <v>100</v>
      </c>
      <c r="Q126" s="203" t="s">
        <v>19</v>
      </c>
      <c r="R126" s="202"/>
      <c r="S126" s="392"/>
      <c r="T126" s="392"/>
      <c r="U126" s="392"/>
      <c r="V126" s="392"/>
      <c r="W126" s="392"/>
    </row>
    <row r="127" spans="1:23" s="175" customFormat="1" ht="25.5" x14ac:dyDescent="0.2">
      <c r="A127" s="393"/>
      <c r="B127" s="394"/>
      <c r="C127" s="399"/>
      <c r="D127" s="399"/>
      <c r="E127" s="401"/>
      <c r="F127" s="401"/>
      <c r="G127" s="401"/>
      <c r="H127" s="401"/>
      <c r="I127" s="401"/>
      <c r="J127" s="399"/>
      <c r="K127" s="102" t="s">
        <v>947</v>
      </c>
      <c r="L127" s="103" t="s">
        <v>159</v>
      </c>
      <c r="M127" s="102" t="s">
        <v>11</v>
      </c>
      <c r="N127" s="203">
        <v>100</v>
      </c>
      <c r="O127" s="203">
        <v>100</v>
      </c>
      <c r="P127" s="203">
        <v>100</v>
      </c>
      <c r="Q127" s="203" t="s">
        <v>19</v>
      </c>
      <c r="R127" s="202"/>
      <c r="S127" s="392"/>
      <c r="T127" s="392"/>
      <c r="U127" s="392"/>
      <c r="V127" s="135"/>
      <c r="W127" s="135"/>
    </row>
    <row r="128" spans="1:23" s="175" customFormat="1" ht="25.5" x14ac:dyDescent="0.2">
      <c r="A128" s="393"/>
      <c r="B128" s="394"/>
      <c r="C128" s="399"/>
      <c r="D128" s="399"/>
      <c r="E128" s="401"/>
      <c r="F128" s="401"/>
      <c r="G128" s="401"/>
      <c r="H128" s="401"/>
      <c r="I128" s="401"/>
      <c r="J128" s="399"/>
      <c r="K128" s="102" t="s">
        <v>948</v>
      </c>
      <c r="L128" s="103" t="s">
        <v>43</v>
      </c>
      <c r="M128" s="102" t="s">
        <v>35</v>
      </c>
      <c r="N128" s="203">
        <v>96</v>
      </c>
      <c r="O128" s="203">
        <v>100</v>
      </c>
      <c r="P128" s="203">
        <v>98</v>
      </c>
      <c r="Q128" s="203" t="s">
        <v>19</v>
      </c>
      <c r="R128" s="202"/>
    </row>
    <row r="129" spans="1:23" s="175" customFormat="1" ht="25.5" x14ac:dyDescent="0.2">
      <c r="A129" s="393"/>
      <c r="B129" s="394"/>
      <c r="C129" s="399"/>
      <c r="D129" s="399"/>
      <c r="E129" s="401"/>
      <c r="F129" s="401"/>
      <c r="G129" s="401"/>
      <c r="H129" s="401"/>
      <c r="I129" s="401"/>
      <c r="J129" s="399"/>
      <c r="K129" s="102" t="s">
        <v>949</v>
      </c>
      <c r="L129" s="103" t="s">
        <v>44</v>
      </c>
      <c r="M129" s="102" t="s">
        <v>35</v>
      </c>
      <c r="N129" s="203">
        <v>36</v>
      </c>
      <c r="O129" s="203">
        <v>29</v>
      </c>
      <c r="P129" s="203">
        <v>19</v>
      </c>
      <c r="Q129" s="203" t="s">
        <v>19</v>
      </c>
      <c r="R129" s="202"/>
    </row>
    <row r="130" spans="1:23" s="175" customFormat="1" x14ac:dyDescent="0.2">
      <c r="A130" s="393"/>
      <c r="B130" s="394"/>
      <c r="C130" s="399"/>
      <c r="D130" s="399"/>
      <c r="E130" s="93" t="s">
        <v>14</v>
      </c>
      <c r="F130" s="94">
        <v>566.29999999999995</v>
      </c>
      <c r="G130" s="343">
        <f>648.8+3.5</f>
        <v>652.29999999999995</v>
      </c>
      <c r="H130" s="94">
        <f>ROUND(G130*Lapas1!$A$1,1)</f>
        <v>711</v>
      </c>
      <c r="I130" s="94">
        <f>ROUND(H130*Lapas1!$A$2,1)</f>
        <v>803.4</v>
      </c>
      <c r="J130" s="95"/>
      <c r="K130" s="95"/>
      <c r="L130" s="96"/>
      <c r="M130" s="96"/>
      <c r="N130" s="205"/>
      <c r="O130" s="205"/>
      <c r="P130" s="205"/>
      <c r="Q130" s="205"/>
      <c r="R130" s="202"/>
    </row>
    <row r="131" spans="1:23" s="175" customFormat="1" x14ac:dyDescent="0.2">
      <c r="A131" s="393"/>
      <c r="B131" s="394"/>
      <c r="C131" s="399"/>
      <c r="D131" s="399"/>
      <c r="E131" s="93" t="s">
        <v>15</v>
      </c>
      <c r="F131" s="94">
        <v>465.2</v>
      </c>
      <c r="G131" s="94">
        <v>554.79999999999995</v>
      </c>
      <c r="H131" s="94">
        <f>ROUND(G131*Lapas1!$A$1,1)</f>
        <v>604.70000000000005</v>
      </c>
      <c r="I131" s="94">
        <f>ROUND(H131*Lapas1!$A$2,1)</f>
        <v>683.3</v>
      </c>
      <c r="J131" s="95"/>
      <c r="K131" s="95"/>
      <c r="L131" s="96"/>
      <c r="M131" s="96"/>
      <c r="N131" s="205"/>
      <c r="O131" s="205"/>
      <c r="P131" s="205"/>
      <c r="Q131" s="205"/>
      <c r="R131" s="202"/>
    </row>
    <row r="132" spans="1:23" s="175" customFormat="1" x14ac:dyDescent="0.2">
      <c r="A132" s="393"/>
      <c r="B132" s="394"/>
      <c r="C132" s="399"/>
      <c r="D132" s="399"/>
      <c r="E132" s="93" t="s">
        <v>17</v>
      </c>
      <c r="F132" s="94">
        <v>75.5</v>
      </c>
      <c r="G132" s="94">
        <v>76</v>
      </c>
      <c r="H132" s="94">
        <f>ROUND(G132*Lapas1!$A$1,1)</f>
        <v>82.8</v>
      </c>
      <c r="I132" s="94">
        <f>ROUND(H132*Lapas1!$A$2,1)</f>
        <v>93.6</v>
      </c>
      <c r="J132" s="95"/>
      <c r="K132" s="95"/>
      <c r="L132" s="96"/>
      <c r="M132" s="96"/>
      <c r="N132" s="205"/>
      <c r="O132" s="205"/>
      <c r="P132" s="205"/>
      <c r="Q132" s="205"/>
      <c r="R132" s="202"/>
    </row>
    <row r="133" spans="1:23" s="175" customFormat="1" x14ac:dyDescent="0.2">
      <c r="A133" s="393"/>
      <c r="B133" s="394"/>
      <c r="C133" s="399"/>
      <c r="D133" s="399"/>
      <c r="E133" s="98" t="s">
        <v>22</v>
      </c>
      <c r="F133" s="99">
        <f>SUM(F130:F132)</f>
        <v>1107</v>
      </c>
      <c r="G133" s="159">
        <f t="shared" ref="G133" si="29">SUM(G130:G132)</f>
        <v>1283.0999999999999</v>
      </c>
      <c r="H133" s="99">
        <f t="shared" ref="H133" si="30">SUM(H130:H132)</f>
        <v>1398.5</v>
      </c>
      <c r="I133" s="99">
        <f t="shared" ref="I133" si="31">SUM(I130:I132)</f>
        <v>1580.2999999999997</v>
      </c>
      <c r="J133" s="95"/>
      <c r="K133" s="95"/>
      <c r="L133" s="96"/>
      <c r="M133" s="96"/>
      <c r="N133" s="205"/>
      <c r="O133" s="205"/>
      <c r="P133" s="205"/>
      <c r="Q133" s="205"/>
      <c r="R133" s="101">
        <f>(G133-F133)/F133</f>
        <v>0.15907859078590778</v>
      </c>
    </row>
    <row r="134" spans="1:23" s="175" customFormat="1" x14ac:dyDescent="0.2">
      <c r="A134" s="393" t="s">
        <v>0</v>
      </c>
      <c r="B134" s="394" t="s">
        <v>0</v>
      </c>
      <c r="C134" s="395" t="s">
        <v>116</v>
      </c>
      <c r="D134" s="395" t="s">
        <v>21</v>
      </c>
      <c r="E134" s="401" t="s">
        <v>45</v>
      </c>
      <c r="F134" s="401"/>
      <c r="G134" s="401"/>
      <c r="H134" s="401"/>
      <c r="I134" s="401"/>
      <c r="J134" s="399" t="s">
        <v>19</v>
      </c>
      <c r="K134" s="102" t="s">
        <v>950</v>
      </c>
      <c r="L134" s="103" t="s">
        <v>154</v>
      </c>
      <c r="M134" s="102" t="s">
        <v>11</v>
      </c>
      <c r="N134" s="203">
        <v>100</v>
      </c>
      <c r="O134" s="203">
        <v>100</v>
      </c>
      <c r="P134" s="203">
        <v>100</v>
      </c>
      <c r="Q134" s="203" t="s">
        <v>19</v>
      </c>
      <c r="R134" s="202"/>
      <c r="S134" s="392"/>
      <c r="T134" s="392"/>
      <c r="U134" s="392"/>
      <c r="V134" s="392"/>
      <c r="W134" s="392"/>
    </row>
    <row r="135" spans="1:23" s="175" customFormat="1" ht="25.5" x14ac:dyDescent="0.2">
      <c r="A135" s="393"/>
      <c r="B135" s="394"/>
      <c r="C135" s="395"/>
      <c r="D135" s="395"/>
      <c r="E135" s="401"/>
      <c r="F135" s="401"/>
      <c r="G135" s="401"/>
      <c r="H135" s="401"/>
      <c r="I135" s="401"/>
      <c r="J135" s="399"/>
      <c r="K135" s="102" t="s">
        <v>951</v>
      </c>
      <c r="L135" s="103" t="s">
        <v>159</v>
      </c>
      <c r="M135" s="102" t="s">
        <v>11</v>
      </c>
      <c r="N135" s="203">
        <v>100</v>
      </c>
      <c r="O135" s="203">
        <v>100</v>
      </c>
      <c r="P135" s="203">
        <v>100</v>
      </c>
      <c r="Q135" s="203" t="s">
        <v>19</v>
      </c>
      <c r="R135" s="202"/>
      <c r="S135" s="392"/>
      <c r="T135" s="392"/>
      <c r="U135" s="392"/>
      <c r="V135" s="135"/>
      <c r="W135" s="135"/>
    </row>
    <row r="136" spans="1:23" s="175" customFormat="1" ht="25.5" x14ac:dyDescent="0.2">
      <c r="A136" s="393"/>
      <c r="B136" s="394"/>
      <c r="C136" s="395"/>
      <c r="D136" s="395"/>
      <c r="E136" s="401"/>
      <c r="F136" s="401"/>
      <c r="G136" s="401"/>
      <c r="H136" s="401"/>
      <c r="I136" s="401"/>
      <c r="J136" s="399"/>
      <c r="K136" s="102" t="s">
        <v>194</v>
      </c>
      <c r="L136" s="103" t="s">
        <v>43</v>
      </c>
      <c r="M136" s="102" t="s">
        <v>35</v>
      </c>
      <c r="N136" s="203">
        <v>118</v>
      </c>
      <c r="O136" s="203">
        <v>118</v>
      </c>
      <c r="P136" s="203">
        <v>118</v>
      </c>
      <c r="Q136" s="203" t="s">
        <v>19</v>
      </c>
      <c r="R136" s="202"/>
    </row>
    <row r="137" spans="1:23" s="175" customFormat="1" ht="25.5" x14ac:dyDescent="0.2">
      <c r="A137" s="393"/>
      <c r="B137" s="394"/>
      <c r="C137" s="395"/>
      <c r="D137" s="395"/>
      <c r="E137" s="401"/>
      <c r="F137" s="401"/>
      <c r="G137" s="401"/>
      <c r="H137" s="401"/>
      <c r="I137" s="401"/>
      <c r="J137" s="399"/>
      <c r="K137" s="102" t="s">
        <v>952</v>
      </c>
      <c r="L137" s="103" t="s">
        <v>44</v>
      </c>
      <c r="M137" s="102" t="s">
        <v>35</v>
      </c>
      <c r="N137" s="203">
        <v>39</v>
      </c>
      <c r="O137" s="203">
        <v>40</v>
      </c>
      <c r="P137" s="203">
        <v>40</v>
      </c>
      <c r="Q137" s="203" t="s">
        <v>19</v>
      </c>
      <c r="R137" s="202"/>
    </row>
    <row r="138" spans="1:23" s="175" customFormat="1" x14ac:dyDescent="0.2">
      <c r="A138" s="393"/>
      <c r="B138" s="394"/>
      <c r="C138" s="395"/>
      <c r="D138" s="395"/>
      <c r="E138" s="93" t="s">
        <v>14</v>
      </c>
      <c r="F138" s="94">
        <v>850.1</v>
      </c>
      <c r="G138" s="343">
        <f>814.4+3.7</f>
        <v>818.1</v>
      </c>
      <c r="H138" s="94">
        <f>ROUND(G138*Lapas1!$A$1,1)</f>
        <v>891.7</v>
      </c>
      <c r="I138" s="94">
        <f>ROUND(H138*Lapas1!$A$2,1)</f>
        <v>1007.6</v>
      </c>
      <c r="J138" s="95"/>
      <c r="K138" s="95"/>
      <c r="L138" s="96"/>
      <c r="M138" s="96"/>
      <c r="N138" s="205"/>
      <c r="O138" s="205"/>
      <c r="P138" s="205"/>
      <c r="Q138" s="205"/>
      <c r="R138" s="202"/>
    </row>
    <row r="139" spans="1:23" s="175" customFormat="1" x14ac:dyDescent="0.2">
      <c r="A139" s="393"/>
      <c r="B139" s="394"/>
      <c r="C139" s="395"/>
      <c r="D139" s="395"/>
      <c r="E139" s="93" t="s">
        <v>15</v>
      </c>
      <c r="F139" s="94">
        <v>659</v>
      </c>
      <c r="G139" s="94">
        <v>683.5</v>
      </c>
      <c r="H139" s="94">
        <f>ROUND(G139*Lapas1!$A$1,1)</f>
        <v>745</v>
      </c>
      <c r="I139" s="94">
        <f>ROUND(H139*Lapas1!$A$2,1)</f>
        <v>841.9</v>
      </c>
      <c r="J139" s="95"/>
      <c r="K139" s="95"/>
      <c r="L139" s="96"/>
      <c r="M139" s="96"/>
      <c r="N139" s="205"/>
      <c r="O139" s="205"/>
      <c r="P139" s="205"/>
      <c r="Q139" s="205"/>
      <c r="R139" s="202"/>
    </row>
    <row r="140" spans="1:23" s="175" customFormat="1" x14ac:dyDescent="0.2">
      <c r="A140" s="393"/>
      <c r="B140" s="394"/>
      <c r="C140" s="395"/>
      <c r="D140" s="395"/>
      <c r="E140" s="93" t="s">
        <v>17</v>
      </c>
      <c r="F140" s="94">
        <v>104.5</v>
      </c>
      <c r="G140" s="94">
        <v>82.5</v>
      </c>
      <c r="H140" s="94">
        <f>ROUND(G140*Lapas1!$A$1,1)</f>
        <v>89.9</v>
      </c>
      <c r="I140" s="94">
        <f>ROUND(H140*Lapas1!$A$2,1)</f>
        <v>101.6</v>
      </c>
      <c r="J140" s="95"/>
      <c r="K140" s="95"/>
      <c r="L140" s="96"/>
      <c r="M140" s="96"/>
      <c r="N140" s="205"/>
      <c r="O140" s="205"/>
      <c r="P140" s="205"/>
      <c r="Q140" s="205"/>
      <c r="R140" s="202"/>
    </row>
    <row r="141" spans="1:23" s="175" customFormat="1" x14ac:dyDescent="0.2">
      <c r="A141" s="393"/>
      <c r="B141" s="394"/>
      <c r="C141" s="395"/>
      <c r="D141" s="395"/>
      <c r="E141" s="98" t="s">
        <v>22</v>
      </c>
      <c r="F141" s="99">
        <f>SUM(F138:F140)</f>
        <v>1613.6</v>
      </c>
      <c r="G141" s="159">
        <f t="shared" ref="G141" si="32">SUM(G138:G140)</f>
        <v>1584.1</v>
      </c>
      <c r="H141" s="99">
        <f t="shared" ref="H141" si="33">SUM(H138:H140)</f>
        <v>1726.6000000000001</v>
      </c>
      <c r="I141" s="99">
        <f t="shared" ref="I141" si="34">SUM(I138:I140)</f>
        <v>1951.1</v>
      </c>
      <c r="J141" s="95"/>
      <c r="K141" s="95"/>
      <c r="L141" s="96"/>
      <c r="M141" s="96"/>
      <c r="N141" s="205"/>
      <c r="O141" s="205"/>
      <c r="P141" s="205"/>
      <c r="Q141" s="205"/>
      <c r="R141" s="101">
        <f>(G141-F141)/F141</f>
        <v>-1.828210213187903E-2</v>
      </c>
    </row>
    <row r="142" spans="1:23" s="175" customFormat="1" x14ac:dyDescent="0.2">
      <c r="A142" s="393" t="s">
        <v>0</v>
      </c>
      <c r="B142" s="394" t="s">
        <v>0</v>
      </c>
      <c r="C142" s="395" t="s">
        <v>120</v>
      </c>
      <c r="D142" s="395" t="s">
        <v>21</v>
      </c>
      <c r="E142" s="401" t="s">
        <v>46</v>
      </c>
      <c r="F142" s="401"/>
      <c r="G142" s="401"/>
      <c r="H142" s="401"/>
      <c r="I142" s="401"/>
      <c r="J142" s="399" t="s">
        <v>19</v>
      </c>
      <c r="K142" s="102" t="s">
        <v>195</v>
      </c>
      <c r="L142" s="103" t="s">
        <v>154</v>
      </c>
      <c r="M142" s="69" t="s">
        <v>11</v>
      </c>
      <c r="N142" s="203">
        <v>100</v>
      </c>
      <c r="O142" s="203">
        <v>100</v>
      </c>
      <c r="P142" s="203">
        <v>100</v>
      </c>
      <c r="Q142" s="203" t="s">
        <v>19</v>
      </c>
      <c r="R142" s="202"/>
      <c r="S142" s="392"/>
      <c r="T142" s="392"/>
      <c r="U142" s="392"/>
      <c r="V142" s="392"/>
      <c r="W142" s="392"/>
    </row>
    <row r="143" spans="1:23" s="175" customFormat="1" ht="25.5" x14ac:dyDescent="0.2">
      <c r="A143" s="393"/>
      <c r="B143" s="394"/>
      <c r="C143" s="395"/>
      <c r="D143" s="395"/>
      <c r="E143" s="401"/>
      <c r="F143" s="401"/>
      <c r="G143" s="401"/>
      <c r="H143" s="401"/>
      <c r="I143" s="401"/>
      <c r="J143" s="399"/>
      <c r="K143" s="102" t="s">
        <v>196</v>
      </c>
      <c r="L143" s="103" t="s">
        <v>159</v>
      </c>
      <c r="M143" s="69" t="s">
        <v>11</v>
      </c>
      <c r="N143" s="203">
        <v>100</v>
      </c>
      <c r="O143" s="203">
        <v>100</v>
      </c>
      <c r="P143" s="203">
        <v>100</v>
      </c>
      <c r="Q143" s="203" t="s">
        <v>19</v>
      </c>
      <c r="R143" s="202"/>
      <c r="S143" s="392"/>
      <c r="T143" s="392"/>
      <c r="U143" s="392"/>
      <c r="V143" s="135"/>
      <c r="W143" s="135"/>
    </row>
    <row r="144" spans="1:23" s="175" customFormat="1" ht="25.5" x14ac:dyDescent="0.2">
      <c r="A144" s="393"/>
      <c r="B144" s="394"/>
      <c r="C144" s="395"/>
      <c r="D144" s="395"/>
      <c r="E144" s="401"/>
      <c r="F144" s="401"/>
      <c r="G144" s="401"/>
      <c r="H144" s="401"/>
      <c r="I144" s="401"/>
      <c r="J144" s="399"/>
      <c r="K144" s="102" t="s">
        <v>197</v>
      </c>
      <c r="L144" s="103" t="s">
        <v>43</v>
      </c>
      <c r="M144" s="69" t="s">
        <v>35</v>
      </c>
      <c r="N144" s="203">
        <v>188</v>
      </c>
      <c r="O144" s="203">
        <v>160</v>
      </c>
      <c r="P144" s="203">
        <v>160</v>
      </c>
      <c r="Q144" s="203" t="s">
        <v>19</v>
      </c>
      <c r="R144" s="202"/>
    </row>
    <row r="145" spans="1:23" s="175" customFormat="1" ht="25.5" x14ac:dyDescent="0.2">
      <c r="A145" s="393"/>
      <c r="B145" s="394"/>
      <c r="C145" s="395"/>
      <c r="D145" s="395"/>
      <c r="E145" s="401"/>
      <c r="F145" s="401"/>
      <c r="G145" s="401"/>
      <c r="H145" s="401"/>
      <c r="I145" s="401"/>
      <c r="J145" s="399"/>
      <c r="K145" s="102" t="s">
        <v>198</v>
      </c>
      <c r="L145" s="103" t="s">
        <v>44</v>
      </c>
      <c r="M145" s="69" t="s">
        <v>35</v>
      </c>
      <c r="N145" s="203">
        <v>45</v>
      </c>
      <c r="O145" s="203">
        <v>60</v>
      </c>
      <c r="P145" s="203">
        <v>50</v>
      </c>
      <c r="Q145" s="203" t="s">
        <v>19</v>
      </c>
      <c r="R145" s="202"/>
    </row>
    <row r="146" spans="1:23" s="175" customFormat="1" x14ac:dyDescent="0.2">
      <c r="A146" s="393"/>
      <c r="B146" s="394"/>
      <c r="C146" s="395"/>
      <c r="D146" s="395"/>
      <c r="E146" s="93" t="s">
        <v>14</v>
      </c>
      <c r="F146" s="94">
        <v>856.3</v>
      </c>
      <c r="G146" s="343">
        <f>1008.1+10.8</f>
        <v>1018.9</v>
      </c>
      <c r="H146" s="94">
        <f>ROUND(G146*Lapas1!$A$1,1)</f>
        <v>1110.5999999999999</v>
      </c>
      <c r="I146" s="94">
        <f>ROUND(H146*Lapas1!$A$2,1)</f>
        <v>1255</v>
      </c>
      <c r="J146" s="95"/>
      <c r="K146" s="95"/>
      <c r="L146" s="96"/>
      <c r="M146" s="96"/>
      <c r="N146" s="205"/>
      <c r="O146" s="205"/>
      <c r="P146" s="205"/>
      <c r="Q146" s="205"/>
      <c r="R146" s="202"/>
    </row>
    <row r="147" spans="1:23" s="175" customFormat="1" x14ac:dyDescent="0.2">
      <c r="A147" s="393"/>
      <c r="B147" s="394"/>
      <c r="C147" s="395"/>
      <c r="D147" s="395"/>
      <c r="E147" s="93" t="s">
        <v>15</v>
      </c>
      <c r="F147" s="94">
        <v>820.6</v>
      </c>
      <c r="G147" s="94">
        <v>894.6</v>
      </c>
      <c r="H147" s="94">
        <f>ROUND(G147*Lapas1!$A$1,1)</f>
        <v>975.1</v>
      </c>
      <c r="I147" s="94">
        <f>ROUND(H147*Lapas1!$A$2,1)</f>
        <v>1101.9000000000001</v>
      </c>
      <c r="J147" s="95"/>
      <c r="K147" s="95"/>
      <c r="L147" s="96"/>
      <c r="M147" s="96"/>
      <c r="N147" s="205"/>
      <c r="O147" s="205"/>
      <c r="P147" s="205"/>
      <c r="Q147" s="205"/>
      <c r="R147" s="202"/>
    </row>
    <row r="148" spans="1:23" s="175" customFormat="1" x14ac:dyDescent="0.2">
      <c r="A148" s="393"/>
      <c r="B148" s="394"/>
      <c r="C148" s="395"/>
      <c r="D148" s="395"/>
      <c r="E148" s="93" t="s">
        <v>17</v>
      </c>
      <c r="F148" s="94">
        <v>124.2</v>
      </c>
      <c r="G148" s="94">
        <v>124.2</v>
      </c>
      <c r="H148" s="94">
        <f>ROUND(G148*Lapas1!$A$1,1)</f>
        <v>135.4</v>
      </c>
      <c r="I148" s="94">
        <f>ROUND(H148*Lapas1!$A$2,1)</f>
        <v>153</v>
      </c>
      <c r="J148" s="95"/>
      <c r="K148" s="95"/>
      <c r="L148" s="96"/>
      <c r="M148" s="96"/>
      <c r="N148" s="205"/>
      <c r="O148" s="205"/>
      <c r="P148" s="205"/>
      <c r="Q148" s="205"/>
      <c r="R148" s="202"/>
    </row>
    <row r="149" spans="1:23" s="175" customFormat="1" x14ac:dyDescent="0.2">
      <c r="A149" s="393"/>
      <c r="B149" s="394"/>
      <c r="C149" s="395"/>
      <c r="D149" s="395"/>
      <c r="E149" s="98" t="s">
        <v>22</v>
      </c>
      <c r="F149" s="99">
        <f>SUM(F146:F148)</f>
        <v>1801.1000000000001</v>
      </c>
      <c r="G149" s="159">
        <f t="shared" ref="G149" si="35">SUM(G146:G148)</f>
        <v>2037.7</v>
      </c>
      <c r="H149" s="99">
        <f t="shared" ref="H149" si="36">SUM(H146:H148)</f>
        <v>2221.1</v>
      </c>
      <c r="I149" s="99">
        <f t="shared" ref="I149" si="37">SUM(I146:I148)</f>
        <v>2509.9</v>
      </c>
      <c r="J149" s="95"/>
      <c r="K149" s="95"/>
      <c r="L149" s="96"/>
      <c r="M149" s="96"/>
      <c r="N149" s="205"/>
      <c r="O149" s="205"/>
      <c r="P149" s="205"/>
      <c r="Q149" s="205"/>
      <c r="R149" s="101">
        <f>(G149-F149)/F149</f>
        <v>0.13136416634279047</v>
      </c>
    </row>
    <row r="150" spans="1:23" s="175" customFormat="1" x14ac:dyDescent="0.2">
      <c r="A150" s="393" t="s">
        <v>0</v>
      </c>
      <c r="B150" s="394" t="s">
        <v>0</v>
      </c>
      <c r="C150" s="395" t="s">
        <v>121</v>
      </c>
      <c r="D150" s="395" t="s">
        <v>21</v>
      </c>
      <c r="E150" s="401" t="s">
        <v>47</v>
      </c>
      <c r="F150" s="401"/>
      <c r="G150" s="401"/>
      <c r="H150" s="401"/>
      <c r="I150" s="401"/>
      <c r="J150" s="399" t="s">
        <v>19</v>
      </c>
      <c r="K150" s="102" t="s">
        <v>199</v>
      </c>
      <c r="L150" s="103" t="s">
        <v>154</v>
      </c>
      <c r="M150" s="69" t="s">
        <v>11</v>
      </c>
      <c r="N150" s="203">
        <v>100</v>
      </c>
      <c r="O150" s="203">
        <v>100</v>
      </c>
      <c r="P150" s="203">
        <v>100</v>
      </c>
      <c r="Q150" s="203" t="s">
        <v>19</v>
      </c>
      <c r="R150" s="202"/>
      <c r="S150" s="392"/>
      <c r="T150" s="392"/>
      <c r="U150" s="392"/>
      <c r="V150" s="392"/>
      <c r="W150" s="392"/>
    </row>
    <row r="151" spans="1:23" s="175" customFormat="1" ht="25.5" x14ac:dyDescent="0.2">
      <c r="A151" s="393"/>
      <c r="B151" s="394"/>
      <c r="C151" s="395"/>
      <c r="D151" s="395"/>
      <c r="E151" s="401"/>
      <c r="F151" s="401"/>
      <c r="G151" s="401"/>
      <c r="H151" s="401"/>
      <c r="I151" s="401"/>
      <c r="J151" s="399"/>
      <c r="K151" s="102" t="s">
        <v>200</v>
      </c>
      <c r="L151" s="103" t="s">
        <v>159</v>
      </c>
      <c r="M151" s="69" t="s">
        <v>11</v>
      </c>
      <c r="N151" s="203">
        <v>100</v>
      </c>
      <c r="O151" s="203">
        <v>100</v>
      </c>
      <c r="P151" s="203">
        <v>100</v>
      </c>
      <c r="Q151" s="203" t="s">
        <v>19</v>
      </c>
      <c r="R151" s="202"/>
      <c r="S151" s="392"/>
      <c r="T151" s="392"/>
      <c r="U151" s="392"/>
      <c r="V151" s="135"/>
      <c r="W151" s="135"/>
    </row>
    <row r="152" spans="1:23" s="175" customFormat="1" ht="25.5" x14ac:dyDescent="0.2">
      <c r="A152" s="393"/>
      <c r="B152" s="394"/>
      <c r="C152" s="395"/>
      <c r="D152" s="395"/>
      <c r="E152" s="401"/>
      <c r="F152" s="401"/>
      <c r="G152" s="401"/>
      <c r="H152" s="401"/>
      <c r="I152" s="401"/>
      <c r="J152" s="399"/>
      <c r="K152" s="102" t="s">
        <v>201</v>
      </c>
      <c r="L152" s="103" t="s">
        <v>43</v>
      </c>
      <c r="M152" s="69" t="s">
        <v>35</v>
      </c>
      <c r="N152" s="203">
        <v>158</v>
      </c>
      <c r="O152" s="203">
        <v>164</v>
      </c>
      <c r="P152" s="203">
        <v>162</v>
      </c>
      <c r="Q152" s="203" t="s">
        <v>19</v>
      </c>
      <c r="R152" s="202"/>
    </row>
    <row r="153" spans="1:23" s="175" customFormat="1" ht="25.5" x14ac:dyDescent="0.2">
      <c r="A153" s="393"/>
      <c r="B153" s="394"/>
      <c r="C153" s="395"/>
      <c r="D153" s="395"/>
      <c r="E153" s="401"/>
      <c r="F153" s="401"/>
      <c r="G153" s="401"/>
      <c r="H153" s="401"/>
      <c r="I153" s="401"/>
      <c r="J153" s="399"/>
      <c r="K153" s="102" t="s">
        <v>202</v>
      </c>
      <c r="L153" s="103" t="s">
        <v>44</v>
      </c>
      <c r="M153" s="69" t="s">
        <v>35</v>
      </c>
      <c r="N153" s="203">
        <v>43</v>
      </c>
      <c r="O153" s="203">
        <v>37</v>
      </c>
      <c r="P153" s="203">
        <v>39</v>
      </c>
      <c r="Q153" s="203" t="s">
        <v>19</v>
      </c>
      <c r="R153" s="202"/>
    </row>
    <row r="154" spans="1:23" s="175" customFormat="1" x14ac:dyDescent="0.2">
      <c r="A154" s="393"/>
      <c r="B154" s="394"/>
      <c r="C154" s="395"/>
      <c r="D154" s="395"/>
      <c r="E154" s="93" t="s">
        <v>14</v>
      </c>
      <c r="F154" s="94">
        <v>775.3</v>
      </c>
      <c r="G154" s="343">
        <f>838.5+8</f>
        <v>846.5</v>
      </c>
      <c r="H154" s="94">
        <f>ROUND(G154*Lapas1!$A$1,1)</f>
        <v>922.7</v>
      </c>
      <c r="I154" s="94">
        <f>ROUND(H154*Lapas1!$A$2,1)</f>
        <v>1042.7</v>
      </c>
      <c r="J154" s="95"/>
      <c r="K154" s="95"/>
      <c r="L154" s="96"/>
      <c r="M154" s="96"/>
      <c r="N154" s="205"/>
      <c r="O154" s="205"/>
      <c r="P154" s="205"/>
      <c r="Q154" s="205"/>
      <c r="R154" s="202"/>
    </row>
    <row r="155" spans="1:23" s="175" customFormat="1" x14ac:dyDescent="0.2">
      <c r="A155" s="393"/>
      <c r="B155" s="394"/>
      <c r="C155" s="395"/>
      <c r="D155" s="395"/>
      <c r="E155" s="93" t="s">
        <v>15</v>
      </c>
      <c r="F155" s="94">
        <v>624.6</v>
      </c>
      <c r="G155" s="94">
        <v>730.4</v>
      </c>
      <c r="H155" s="94">
        <f>ROUND(G155*Lapas1!$A$1,1)</f>
        <v>796.1</v>
      </c>
      <c r="I155" s="94">
        <f>ROUND(H155*Lapas1!$A$2,1)</f>
        <v>899.6</v>
      </c>
      <c r="J155" s="95"/>
      <c r="K155" s="95"/>
      <c r="L155" s="96"/>
      <c r="M155" s="96"/>
      <c r="N155" s="205"/>
      <c r="O155" s="205"/>
      <c r="P155" s="205"/>
      <c r="Q155" s="205"/>
      <c r="R155" s="202"/>
    </row>
    <row r="156" spans="1:23" s="175" customFormat="1" x14ac:dyDescent="0.2">
      <c r="A156" s="393"/>
      <c r="B156" s="394"/>
      <c r="C156" s="395"/>
      <c r="D156" s="395"/>
      <c r="E156" s="93" t="s">
        <v>17</v>
      </c>
      <c r="F156" s="94">
        <v>127</v>
      </c>
      <c r="G156" s="94">
        <v>125</v>
      </c>
      <c r="H156" s="94">
        <f>ROUND(G156*Lapas1!$A$1,1)</f>
        <v>136.30000000000001</v>
      </c>
      <c r="I156" s="94">
        <f>ROUND(H156*Lapas1!$A$2,1)</f>
        <v>154</v>
      </c>
      <c r="J156" s="95"/>
      <c r="K156" s="95"/>
      <c r="L156" s="96"/>
      <c r="M156" s="96"/>
      <c r="N156" s="205"/>
      <c r="O156" s="205"/>
      <c r="P156" s="205"/>
      <c r="Q156" s="205"/>
      <c r="R156" s="202"/>
    </row>
    <row r="157" spans="1:23" s="175" customFormat="1" x14ac:dyDescent="0.2">
      <c r="A157" s="393"/>
      <c r="B157" s="394"/>
      <c r="C157" s="395"/>
      <c r="D157" s="395"/>
      <c r="E157" s="98" t="s">
        <v>22</v>
      </c>
      <c r="F157" s="99">
        <f>SUM(F154:F156)</f>
        <v>1526.9</v>
      </c>
      <c r="G157" s="159">
        <f t="shared" ref="G157" si="38">SUM(G154:G156)</f>
        <v>1701.9</v>
      </c>
      <c r="H157" s="99">
        <f t="shared" ref="H157" si="39">SUM(H154:H156)</f>
        <v>1855.1000000000001</v>
      </c>
      <c r="I157" s="99">
        <f t="shared" ref="I157" si="40">SUM(I154:I156)</f>
        <v>2096.3000000000002</v>
      </c>
      <c r="J157" s="95"/>
      <c r="K157" s="95"/>
      <c r="L157" s="96"/>
      <c r="M157" s="96"/>
      <c r="N157" s="205"/>
      <c r="O157" s="205"/>
      <c r="P157" s="205"/>
      <c r="Q157" s="205"/>
      <c r="R157" s="101">
        <f>(G157-F157)/F157</f>
        <v>0.11461130394917807</v>
      </c>
    </row>
    <row r="158" spans="1:23" s="175" customFormat="1" x14ac:dyDescent="0.2">
      <c r="A158" s="393" t="s">
        <v>0</v>
      </c>
      <c r="B158" s="394" t="s">
        <v>0</v>
      </c>
      <c r="C158" s="395" t="s">
        <v>122</v>
      </c>
      <c r="D158" s="395" t="s">
        <v>21</v>
      </c>
      <c r="E158" s="401" t="s">
        <v>48</v>
      </c>
      <c r="F158" s="401"/>
      <c r="G158" s="401"/>
      <c r="H158" s="401"/>
      <c r="I158" s="401"/>
      <c r="J158" s="399" t="s">
        <v>19</v>
      </c>
      <c r="K158" s="102" t="s">
        <v>203</v>
      </c>
      <c r="L158" s="67" t="s">
        <v>154</v>
      </c>
      <c r="M158" s="69" t="s">
        <v>11</v>
      </c>
      <c r="N158" s="203">
        <v>100</v>
      </c>
      <c r="O158" s="203">
        <v>100</v>
      </c>
      <c r="P158" s="203">
        <v>100</v>
      </c>
      <c r="Q158" s="203" t="s">
        <v>19</v>
      </c>
      <c r="R158" s="202"/>
      <c r="S158" s="392"/>
      <c r="T158" s="392"/>
      <c r="U158" s="392"/>
      <c r="V158" s="392"/>
      <c r="W158" s="392"/>
    </row>
    <row r="159" spans="1:23" s="175" customFormat="1" ht="25.5" x14ac:dyDescent="0.2">
      <c r="A159" s="393"/>
      <c r="B159" s="394"/>
      <c r="C159" s="395"/>
      <c r="D159" s="395"/>
      <c r="E159" s="401"/>
      <c r="F159" s="401"/>
      <c r="G159" s="401"/>
      <c r="H159" s="401"/>
      <c r="I159" s="401"/>
      <c r="J159" s="399"/>
      <c r="K159" s="102" t="s">
        <v>204</v>
      </c>
      <c r="L159" s="67" t="s">
        <v>159</v>
      </c>
      <c r="M159" s="69" t="s">
        <v>11</v>
      </c>
      <c r="N159" s="203">
        <v>100</v>
      </c>
      <c r="O159" s="203">
        <v>100</v>
      </c>
      <c r="P159" s="203">
        <v>100</v>
      </c>
      <c r="Q159" s="203" t="s">
        <v>19</v>
      </c>
      <c r="R159" s="202"/>
      <c r="S159" s="392"/>
      <c r="T159" s="392"/>
      <c r="U159" s="392"/>
      <c r="V159" s="135"/>
      <c r="W159" s="135"/>
    </row>
    <row r="160" spans="1:23" s="175" customFormat="1" ht="25.5" x14ac:dyDescent="0.2">
      <c r="A160" s="393"/>
      <c r="B160" s="394"/>
      <c r="C160" s="395"/>
      <c r="D160" s="395"/>
      <c r="E160" s="401"/>
      <c r="F160" s="401"/>
      <c r="G160" s="401"/>
      <c r="H160" s="401"/>
      <c r="I160" s="401"/>
      <c r="J160" s="399"/>
      <c r="K160" s="102" t="s">
        <v>205</v>
      </c>
      <c r="L160" s="67" t="s">
        <v>43</v>
      </c>
      <c r="M160" s="69" t="s">
        <v>35</v>
      </c>
      <c r="N160" s="203">
        <v>150</v>
      </c>
      <c r="O160" s="203">
        <v>120</v>
      </c>
      <c r="P160" s="203">
        <v>120</v>
      </c>
      <c r="Q160" s="203" t="s">
        <v>19</v>
      </c>
      <c r="R160" s="202"/>
    </row>
    <row r="161" spans="1:23" s="175" customFormat="1" ht="25.5" x14ac:dyDescent="0.2">
      <c r="A161" s="393"/>
      <c r="B161" s="394"/>
      <c r="C161" s="395"/>
      <c r="D161" s="395"/>
      <c r="E161" s="401"/>
      <c r="F161" s="401"/>
      <c r="G161" s="401"/>
      <c r="H161" s="401"/>
      <c r="I161" s="401"/>
      <c r="J161" s="399"/>
      <c r="K161" s="102" t="s">
        <v>206</v>
      </c>
      <c r="L161" s="67" t="s">
        <v>44</v>
      </c>
      <c r="M161" s="69" t="s">
        <v>35</v>
      </c>
      <c r="N161" s="203">
        <v>40</v>
      </c>
      <c r="O161" s="203">
        <v>40</v>
      </c>
      <c r="P161" s="203">
        <v>40</v>
      </c>
      <c r="Q161" s="203" t="s">
        <v>19</v>
      </c>
      <c r="R161" s="202"/>
    </row>
    <row r="162" spans="1:23" s="175" customFormat="1" x14ac:dyDescent="0.2">
      <c r="A162" s="393"/>
      <c r="B162" s="394"/>
      <c r="C162" s="395"/>
      <c r="D162" s="395"/>
      <c r="E162" s="93" t="s">
        <v>14</v>
      </c>
      <c r="F162" s="94">
        <v>686.3</v>
      </c>
      <c r="G162" s="343">
        <f>797+5</f>
        <v>802</v>
      </c>
      <c r="H162" s="94">
        <f>ROUND(G162*Lapas1!$A$1,1)</f>
        <v>874.2</v>
      </c>
      <c r="I162" s="94">
        <f>ROUND(H162*Lapas1!$A$2,1)</f>
        <v>987.8</v>
      </c>
      <c r="J162" s="95"/>
      <c r="K162" s="95"/>
      <c r="L162" s="96"/>
      <c r="M162" s="96"/>
      <c r="N162" s="205"/>
      <c r="O162" s="205"/>
      <c r="P162" s="205"/>
      <c r="Q162" s="205"/>
      <c r="R162" s="202"/>
    </row>
    <row r="163" spans="1:23" s="175" customFormat="1" x14ac:dyDescent="0.2">
      <c r="A163" s="393"/>
      <c r="B163" s="394"/>
      <c r="C163" s="395"/>
      <c r="D163" s="395"/>
      <c r="E163" s="93" t="s">
        <v>15</v>
      </c>
      <c r="F163" s="94">
        <v>641.1</v>
      </c>
      <c r="G163" s="94">
        <v>693.6</v>
      </c>
      <c r="H163" s="94">
        <f>ROUND(G163*Lapas1!$A$1,1)</f>
        <v>756</v>
      </c>
      <c r="I163" s="94">
        <f>ROUND(H163*Lapas1!$A$2,1)</f>
        <v>854.3</v>
      </c>
      <c r="J163" s="95"/>
      <c r="K163" s="95"/>
      <c r="L163" s="96"/>
      <c r="M163" s="96"/>
      <c r="N163" s="205"/>
      <c r="O163" s="205"/>
      <c r="P163" s="205"/>
      <c r="Q163" s="205"/>
      <c r="R163" s="202"/>
    </row>
    <row r="164" spans="1:23" s="175" customFormat="1" x14ac:dyDescent="0.2">
      <c r="A164" s="393"/>
      <c r="B164" s="394"/>
      <c r="C164" s="395"/>
      <c r="D164" s="395"/>
      <c r="E164" s="93" t="s">
        <v>17</v>
      </c>
      <c r="F164" s="94">
        <v>110</v>
      </c>
      <c r="G164" s="94">
        <v>91</v>
      </c>
      <c r="H164" s="94">
        <f>ROUND(G164*Lapas1!$A$1,1)</f>
        <v>99.2</v>
      </c>
      <c r="I164" s="94">
        <f>ROUND(H164*Lapas1!$A$2,1)</f>
        <v>112.1</v>
      </c>
      <c r="J164" s="95"/>
      <c r="K164" s="95"/>
      <c r="L164" s="96"/>
      <c r="M164" s="96"/>
      <c r="N164" s="205"/>
      <c r="O164" s="205"/>
      <c r="P164" s="205"/>
      <c r="Q164" s="205"/>
      <c r="R164" s="202"/>
    </row>
    <row r="165" spans="1:23" s="175" customFormat="1" x14ac:dyDescent="0.2">
      <c r="A165" s="393"/>
      <c r="B165" s="394"/>
      <c r="C165" s="395"/>
      <c r="D165" s="395"/>
      <c r="E165" s="98" t="s">
        <v>22</v>
      </c>
      <c r="F165" s="99">
        <f>SUM(F162:F164)</f>
        <v>1437.4</v>
      </c>
      <c r="G165" s="159">
        <f t="shared" ref="G165" si="41">SUM(G162:G164)</f>
        <v>1586.6</v>
      </c>
      <c r="H165" s="99">
        <f t="shared" ref="H165" si="42">SUM(H162:H164)</f>
        <v>1729.4</v>
      </c>
      <c r="I165" s="99">
        <f t="shared" ref="I165" si="43">SUM(I162:I164)</f>
        <v>1954.1999999999998</v>
      </c>
      <c r="J165" s="95"/>
      <c r="K165" s="95"/>
      <c r="L165" s="96"/>
      <c r="M165" s="96"/>
      <c r="N165" s="205"/>
      <c r="O165" s="205"/>
      <c r="P165" s="205"/>
      <c r="Q165" s="205"/>
      <c r="R165" s="101">
        <f>(G165-F165)/F165</f>
        <v>0.10379852511479046</v>
      </c>
    </row>
    <row r="166" spans="1:23" s="175" customFormat="1" x14ac:dyDescent="0.2">
      <c r="A166" s="393" t="s">
        <v>0</v>
      </c>
      <c r="B166" s="394" t="s">
        <v>0</v>
      </c>
      <c r="C166" s="395" t="s">
        <v>123</v>
      </c>
      <c r="D166" s="395" t="s">
        <v>21</v>
      </c>
      <c r="E166" s="401" t="s">
        <v>49</v>
      </c>
      <c r="F166" s="401"/>
      <c r="G166" s="401"/>
      <c r="H166" s="401"/>
      <c r="I166" s="401"/>
      <c r="J166" s="399" t="s">
        <v>19</v>
      </c>
      <c r="K166" s="102" t="s">
        <v>207</v>
      </c>
      <c r="L166" s="67" t="s">
        <v>154</v>
      </c>
      <c r="M166" s="69" t="s">
        <v>11</v>
      </c>
      <c r="N166" s="203">
        <v>100</v>
      </c>
      <c r="O166" s="203">
        <v>100</v>
      </c>
      <c r="P166" s="203">
        <v>100</v>
      </c>
      <c r="Q166" s="203" t="s">
        <v>19</v>
      </c>
      <c r="R166" s="202"/>
      <c r="S166" s="392"/>
      <c r="T166" s="392"/>
      <c r="U166" s="392"/>
      <c r="V166" s="392"/>
      <c r="W166" s="392"/>
    </row>
    <row r="167" spans="1:23" s="175" customFormat="1" ht="25.5" x14ac:dyDescent="0.2">
      <c r="A167" s="393"/>
      <c r="B167" s="394"/>
      <c r="C167" s="395"/>
      <c r="D167" s="395"/>
      <c r="E167" s="401"/>
      <c r="F167" s="401"/>
      <c r="G167" s="401"/>
      <c r="H167" s="401"/>
      <c r="I167" s="401"/>
      <c r="J167" s="399"/>
      <c r="K167" s="102" t="s">
        <v>208</v>
      </c>
      <c r="L167" s="67" t="s">
        <v>159</v>
      </c>
      <c r="M167" s="69" t="s">
        <v>11</v>
      </c>
      <c r="N167" s="203">
        <v>100</v>
      </c>
      <c r="O167" s="203">
        <v>100</v>
      </c>
      <c r="P167" s="203">
        <v>100</v>
      </c>
      <c r="Q167" s="203" t="s">
        <v>19</v>
      </c>
      <c r="R167" s="202"/>
      <c r="S167" s="392"/>
      <c r="T167" s="392"/>
      <c r="U167" s="392"/>
      <c r="V167" s="135"/>
      <c r="W167" s="135"/>
    </row>
    <row r="168" spans="1:23" s="175" customFormat="1" ht="25.5" x14ac:dyDescent="0.2">
      <c r="A168" s="393"/>
      <c r="B168" s="394"/>
      <c r="C168" s="395"/>
      <c r="D168" s="395"/>
      <c r="E168" s="401"/>
      <c r="F168" s="401"/>
      <c r="G168" s="401"/>
      <c r="H168" s="401"/>
      <c r="I168" s="401"/>
      <c r="J168" s="399"/>
      <c r="K168" s="102" t="s">
        <v>209</v>
      </c>
      <c r="L168" s="67" t="s">
        <v>43</v>
      </c>
      <c r="M168" s="69" t="s">
        <v>35</v>
      </c>
      <c r="N168" s="203">
        <v>260</v>
      </c>
      <c r="O168" s="203">
        <v>260</v>
      </c>
      <c r="P168" s="203">
        <v>260</v>
      </c>
      <c r="Q168" s="203" t="s">
        <v>19</v>
      </c>
      <c r="R168" s="202"/>
    </row>
    <row r="169" spans="1:23" s="175" customFormat="1" ht="25.5" x14ac:dyDescent="0.2">
      <c r="A169" s="393"/>
      <c r="B169" s="394"/>
      <c r="C169" s="395"/>
      <c r="D169" s="395"/>
      <c r="E169" s="401"/>
      <c r="F169" s="401"/>
      <c r="G169" s="401"/>
      <c r="H169" s="401"/>
      <c r="I169" s="401"/>
      <c r="J169" s="399"/>
      <c r="K169" s="102" t="s">
        <v>210</v>
      </c>
      <c r="L169" s="67" t="s">
        <v>44</v>
      </c>
      <c r="M169" s="69" t="s">
        <v>35</v>
      </c>
      <c r="N169" s="203">
        <v>56</v>
      </c>
      <c r="O169" s="203">
        <v>50</v>
      </c>
      <c r="P169" s="203">
        <v>50</v>
      </c>
      <c r="Q169" s="203" t="s">
        <v>19</v>
      </c>
      <c r="R169" s="202"/>
    </row>
    <row r="170" spans="1:23" s="175" customFormat="1" x14ac:dyDescent="0.2">
      <c r="A170" s="393"/>
      <c r="B170" s="394"/>
      <c r="C170" s="395"/>
      <c r="D170" s="395"/>
      <c r="E170" s="93" t="s">
        <v>14</v>
      </c>
      <c r="F170" s="94">
        <v>1015.9</v>
      </c>
      <c r="G170" s="343">
        <f>1221.4+8.3</f>
        <v>1229.7</v>
      </c>
      <c r="H170" s="94">
        <f>ROUND(G170*Lapas1!$A$1,1)</f>
        <v>1340.4</v>
      </c>
      <c r="I170" s="94">
        <f>ROUND(H170*Lapas1!$A$2,1)</f>
        <v>1514.7</v>
      </c>
      <c r="J170" s="95"/>
      <c r="K170" s="95"/>
      <c r="L170" s="96"/>
      <c r="M170" s="96"/>
      <c r="N170" s="205"/>
      <c r="O170" s="205"/>
      <c r="P170" s="205"/>
      <c r="Q170" s="205"/>
      <c r="R170" s="202"/>
    </row>
    <row r="171" spans="1:23" s="175" customFormat="1" x14ac:dyDescent="0.2">
      <c r="A171" s="393"/>
      <c r="B171" s="394"/>
      <c r="C171" s="395"/>
      <c r="D171" s="395"/>
      <c r="E171" s="93" t="s">
        <v>15</v>
      </c>
      <c r="F171" s="94">
        <v>924.5</v>
      </c>
      <c r="G171" s="94">
        <v>1015</v>
      </c>
      <c r="H171" s="94">
        <f>ROUND(G171*Lapas1!$A$1,1)</f>
        <v>1106.4000000000001</v>
      </c>
      <c r="I171" s="94">
        <f>ROUND(H171*Lapas1!$A$2,1)</f>
        <v>1250.2</v>
      </c>
      <c r="J171" s="95"/>
      <c r="K171" s="95"/>
      <c r="L171" s="96"/>
      <c r="M171" s="96"/>
      <c r="N171" s="205"/>
      <c r="O171" s="205"/>
      <c r="P171" s="205"/>
      <c r="Q171" s="205"/>
      <c r="R171" s="202"/>
    </row>
    <row r="172" spans="1:23" s="175" customFormat="1" x14ac:dyDescent="0.2">
      <c r="A172" s="393"/>
      <c r="B172" s="394"/>
      <c r="C172" s="395"/>
      <c r="D172" s="395"/>
      <c r="E172" s="93" t="s">
        <v>17</v>
      </c>
      <c r="F172" s="94">
        <v>155.6</v>
      </c>
      <c r="G172" s="94">
        <v>155.6</v>
      </c>
      <c r="H172" s="94">
        <f>ROUND(G172*Lapas1!$A$1,1)</f>
        <v>169.6</v>
      </c>
      <c r="I172" s="94">
        <f>ROUND(H172*Lapas1!$A$2,1)</f>
        <v>191.6</v>
      </c>
      <c r="J172" s="95"/>
      <c r="K172" s="95"/>
      <c r="L172" s="96"/>
      <c r="M172" s="96"/>
      <c r="N172" s="205"/>
      <c r="O172" s="205"/>
      <c r="P172" s="205"/>
      <c r="Q172" s="205"/>
      <c r="R172" s="202"/>
    </row>
    <row r="173" spans="1:23" s="175" customFormat="1" x14ac:dyDescent="0.2">
      <c r="A173" s="393"/>
      <c r="B173" s="394"/>
      <c r="C173" s="395"/>
      <c r="D173" s="395"/>
      <c r="E173" s="104" t="s">
        <v>22</v>
      </c>
      <c r="F173" s="99">
        <f>SUM(F170:F172)</f>
        <v>2096</v>
      </c>
      <c r="G173" s="159">
        <f t="shared" ref="G173" si="44">SUM(G170:G172)</f>
        <v>2400.2999999999997</v>
      </c>
      <c r="H173" s="99">
        <f t="shared" ref="H173" si="45">SUM(H170:H172)</f>
        <v>2616.4</v>
      </c>
      <c r="I173" s="99">
        <f t="shared" ref="I173" si="46">SUM(I170:I172)</f>
        <v>2956.5</v>
      </c>
      <c r="J173" s="95"/>
      <c r="K173" s="95"/>
      <c r="L173" s="96"/>
      <c r="M173" s="96"/>
      <c r="N173" s="205"/>
      <c r="O173" s="205"/>
      <c r="P173" s="205"/>
      <c r="Q173" s="205"/>
      <c r="R173" s="101">
        <f>(G173-F173)/F173</f>
        <v>0.14518129770992352</v>
      </c>
    </row>
    <row r="174" spans="1:23" s="175" customFormat="1" x14ac:dyDescent="0.2">
      <c r="A174" s="131" t="s">
        <v>0</v>
      </c>
      <c r="B174" s="140" t="s">
        <v>0</v>
      </c>
      <c r="C174" s="105"/>
      <c r="D174" s="105" t="s">
        <v>31</v>
      </c>
      <c r="E174" s="106" t="s">
        <v>238</v>
      </c>
      <c r="F174" s="107">
        <f>F32+F37+F47+F56+F66+F76+F86+F96+F106+F116+F125+F133+F141+F149+F157+F165+F173</f>
        <v>33399.830999999998</v>
      </c>
      <c r="G174" s="107">
        <f>G32+G37+G47+G56+G66+G76+G86+G96+G106+G116+G125+G133+G141+G149+G157+G165+G173</f>
        <v>38389.347999999998</v>
      </c>
      <c r="H174" s="107">
        <f>H32+H37+H47+H56+H66+H76+H86+H96+H106+H116+H125+H133+H141+H149+H157+H165+H173</f>
        <v>41844.300000000003</v>
      </c>
      <c r="I174" s="107">
        <f>I32+I37+I47+I56+I66+I76+I86+I96+I106+I116+I125+I133+I141+I149+I157+I165+I173</f>
        <v>47284.100000000006</v>
      </c>
      <c r="J174" s="108"/>
      <c r="K174" s="207"/>
      <c r="L174" s="207"/>
      <c r="M174" s="207"/>
      <c r="N174" s="208"/>
      <c r="O174" s="208"/>
      <c r="P174" s="208"/>
      <c r="Q174" s="208"/>
      <c r="R174" s="202"/>
    </row>
    <row r="175" spans="1:23" s="175" customFormat="1" ht="15" x14ac:dyDescent="0.2">
      <c r="A175" s="131" t="s">
        <v>0</v>
      </c>
      <c r="B175" s="140" t="s">
        <v>10</v>
      </c>
      <c r="C175" s="105"/>
      <c r="D175" s="105" t="s">
        <v>18</v>
      </c>
      <c r="E175" s="407" t="s">
        <v>803</v>
      </c>
      <c r="F175" s="408"/>
      <c r="G175" s="408"/>
      <c r="H175" s="408"/>
      <c r="I175" s="409"/>
      <c r="J175" s="233"/>
      <c r="K175" s="234"/>
      <c r="L175" s="234"/>
      <c r="M175" s="235"/>
      <c r="N175" s="208"/>
      <c r="O175" s="208"/>
      <c r="P175" s="208"/>
      <c r="Q175" s="130"/>
      <c r="R175" s="202"/>
    </row>
    <row r="176" spans="1:23" s="175" customFormat="1" ht="15" x14ac:dyDescent="0.2">
      <c r="A176" s="393" t="s">
        <v>0</v>
      </c>
      <c r="B176" s="394" t="s">
        <v>10</v>
      </c>
      <c r="C176" s="395" t="s">
        <v>0</v>
      </c>
      <c r="D176" s="395" t="s">
        <v>78</v>
      </c>
      <c r="E176" s="401" t="s">
        <v>804</v>
      </c>
      <c r="F176" s="401"/>
      <c r="G176" s="401"/>
      <c r="H176" s="401"/>
      <c r="I176" s="401"/>
      <c r="J176" s="236" t="s">
        <v>19</v>
      </c>
      <c r="K176" s="328" t="s">
        <v>19</v>
      </c>
      <c r="L176" s="236" t="s">
        <v>19</v>
      </c>
      <c r="M176" s="329" t="s">
        <v>19</v>
      </c>
      <c r="N176" s="330" t="s">
        <v>19</v>
      </c>
      <c r="O176" s="330" t="s">
        <v>19</v>
      </c>
      <c r="P176" s="330" t="s">
        <v>19</v>
      </c>
      <c r="Q176" s="331" t="s">
        <v>19</v>
      </c>
      <c r="R176" s="202"/>
    </row>
    <row r="177" spans="1:23" s="175" customFormat="1" x14ac:dyDescent="0.2">
      <c r="A177" s="393"/>
      <c r="B177" s="394"/>
      <c r="C177" s="395"/>
      <c r="D177" s="395"/>
      <c r="E177" s="93" t="s">
        <v>15</v>
      </c>
      <c r="F177" s="94">
        <v>4.0999999999999996</v>
      </c>
      <c r="G177" s="94"/>
      <c r="H177" s="94"/>
      <c r="I177" s="94"/>
      <c r="J177" s="95"/>
      <c r="K177" s="95"/>
      <c r="L177" s="96"/>
      <c r="M177" s="96"/>
      <c r="N177" s="205"/>
      <c r="O177" s="205"/>
      <c r="P177" s="205"/>
      <c r="Q177" s="205"/>
      <c r="R177" s="202"/>
    </row>
    <row r="178" spans="1:23" s="175" customFormat="1" x14ac:dyDescent="0.2">
      <c r="A178" s="393"/>
      <c r="B178" s="394"/>
      <c r="C178" s="395"/>
      <c r="D178" s="395"/>
      <c r="E178" s="104" t="s">
        <v>22</v>
      </c>
      <c r="F178" s="99">
        <f>SUM(F177:F177)</f>
        <v>4.0999999999999996</v>
      </c>
      <c r="G178" s="159">
        <f>SUM(G177:G177)</f>
        <v>0</v>
      </c>
      <c r="H178" s="99">
        <f>SUM(H177:H177)</f>
        <v>0</v>
      </c>
      <c r="I178" s="99">
        <f>SUM(I177:I177)</f>
        <v>0</v>
      </c>
      <c r="J178" s="95"/>
      <c r="K178" s="95"/>
      <c r="L178" s="96"/>
      <c r="M178" s="96"/>
      <c r="N178" s="205"/>
      <c r="O178" s="205"/>
      <c r="P178" s="205"/>
      <c r="Q178" s="205"/>
      <c r="R178" s="101">
        <f>(G178-F178)/F178</f>
        <v>-1</v>
      </c>
    </row>
    <row r="179" spans="1:23" s="175" customFormat="1" x14ac:dyDescent="0.2">
      <c r="A179" s="131" t="s">
        <v>0</v>
      </c>
      <c r="B179" s="232" t="s">
        <v>10</v>
      </c>
      <c r="C179" s="232"/>
      <c r="D179" s="232" t="s">
        <v>18</v>
      </c>
      <c r="E179" s="106" t="s">
        <v>238</v>
      </c>
      <c r="F179" s="247">
        <f>F178</f>
        <v>4.0999999999999996</v>
      </c>
      <c r="G179" s="168">
        <f t="shared" ref="G179:I179" si="47">G178</f>
        <v>0</v>
      </c>
      <c r="H179" s="247">
        <f t="shared" si="47"/>
        <v>0</v>
      </c>
      <c r="I179" s="247">
        <f t="shared" si="47"/>
        <v>0</v>
      </c>
      <c r="J179" s="232"/>
      <c r="K179" s="232"/>
      <c r="L179" s="232"/>
      <c r="M179" s="232"/>
      <c r="N179" s="232"/>
      <c r="O179" s="232"/>
      <c r="P179" s="232"/>
      <c r="Q179" s="232"/>
      <c r="R179" s="202"/>
    </row>
    <row r="180" spans="1:23" s="175" customFormat="1" x14ac:dyDescent="0.2">
      <c r="A180" s="209" t="s">
        <v>0</v>
      </c>
      <c r="B180" s="109"/>
      <c r="C180" s="109"/>
      <c r="D180" s="109"/>
      <c r="E180" s="110" t="s">
        <v>239</v>
      </c>
      <c r="F180" s="111">
        <f>F174+F179</f>
        <v>33403.930999999997</v>
      </c>
      <c r="G180" s="169">
        <f>G174+G179</f>
        <v>38389.347999999998</v>
      </c>
      <c r="H180" s="111">
        <f>H174+H179</f>
        <v>41844.300000000003</v>
      </c>
      <c r="I180" s="111">
        <f>I174+I179</f>
        <v>47284.100000000006</v>
      </c>
      <c r="J180" s="112"/>
      <c r="K180" s="210"/>
      <c r="L180" s="210"/>
      <c r="M180" s="210"/>
      <c r="N180" s="211"/>
      <c r="O180" s="211"/>
      <c r="P180" s="211"/>
      <c r="Q180" s="211"/>
      <c r="R180" s="202"/>
    </row>
    <row r="181" spans="1:23" s="175" customFormat="1" x14ac:dyDescent="0.2">
      <c r="A181" s="131" t="s">
        <v>10</v>
      </c>
      <c r="B181" s="91"/>
      <c r="C181" s="91"/>
      <c r="D181" s="91"/>
      <c r="E181" s="410" t="s">
        <v>890</v>
      </c>
      <c r="F181" s="410"/>
      <c r="G181" s="410"/>
      <c r="H181" s="410"/>
      <c r="I181" s="410"/>
      <c r="J181" s="410"/>
      <c r="K181" s="410"/>
      <c r="L181" s="410"/>
      <c r="M181" s="410"/>
      <c r="N181" s="410"/>
      <c r="O181" s="410"/>
      <c r="P181" s="410"/>
      <c r="Q181" s="410"/>
      <c r="R181" s="202"/>
    </row>
    <row r="182" spans="1:23" s="175" customFormat="1" ht="25.5" x14ac:dyDescent="0.2">
      <c r="A182" s="131" t="s">
        <v>10</v>
      </c>
      <c r="B182" s="140" t="s">
        <v>0</v>
      </c>
      <c r="C182" s="133"/>
      <c r="D182" s="133" t="s">
        <v>31</v>
      </c>
      <c r="E182" s="411" t="s">
        <v>891</v>
      </c>
      <c r="F182" s="411"/>
      <c r="G182" s="411"/>
      <c r="H182" s="411"/>
      <c r="I182" s="411"/>
      <c r="J182" s="133" t="s">
        <v>211</v>
      </c>
      <c r="K182" s="92" t="s">
        <v>132</v>
      </c>
      <c r="L182" s="92" t="s">
        <v>36</v>
      </c>
      <c r="M182" s="92" t="s">
        <v>11</v>
      </c>
      <c r="N182" s="130">
        <v>6.3</v>
      </c>
      <c r="O182" s="130">
        <v>6.3</v>
      </c>
      <c r="P182" s="130">
        <v>6.3</v>
      </c>
      <c r="Q182" s="130" t="s">
        <v>241</v>
      </c>
      <c r="R182" s="202"/>
    </row>
    <row r="183" spans="1:23" s="175" customFormat="1" ht="25.5" x14ac:dyDescent="0.2">
      <c r="A183" s="393" t="s">
        <v>10</v>
      </c>
      <c r="B183" s="394" t="s">
        <v>0</v>
      </c>
      <c r="C183" s="399" t="s">
        <v>0</v>
      </c>
      <c r="D183" s="399" t="s">
        <v>21</v>
      </c>
      <c r="E183" s="401" t="s">
        <v>227</v>
      </c>
      <c r="F183" s="401"/>
      <c r="G183" s="401"/>
      <c r="H183" s="401"/>
      <c r="I183" s="401"/>
      <c r="J183" s="399" t="s">
        <v>19</v>
      </c>
      <c r="K183" s="69" t="s">
        <v>129</v>
      </c>
      <c r="L183" s="69" t="s">
        <v>124</v>
      </c>
      <c r="M183" s="69" t="s">
        <v>35</v>
      </c>
      <c r="N183" s="203">
        <v>240</v>
      </c>
      <c r="O183" s="203">
        <v>240</v>
      </c>
      <c r="P183" s="203">
        <v>240</v>
      </c>
      <c r="Q183" s="203" t="s">
        <v>19</v>
      </c>
      <c r="R183" s="202"/>
    </row>
    <row r="184" spans="1:23" s="175" customFormat="1" ht="25.5" x14ac:dyDescent="0.2">
      <c r="A184" s="393"/>
      <c r="B184" s="394"/>
      <c r="C184" s="399"/>
      <c r="D184" s="399"/>
      <c r="E184" s="401"/>
      <c r="F184" s="401"/>
      <c r="G184" s="401"/>
      <c r="H184" s="401"/>
      <c r="I184" s="401"/>
      <c r="J184" s="399"/>
      <c r="K184" s="69" t="s">
        <v>130</v>
      </c>
      <c r="L184" s="69" t="s">
        <v>82</v>
      </c>
      <c r="M184" s="69" t="s">
        <v>35</v>
      </c>
      <c r="N184" s="203">
        <v>300</v>
      </c>
      <c r="O184" s="203">
        <v>300</v>
      </c>
      <c r="P184" s="203">
        <v>300</v>
      </c>
      <c r="Q184" s="203" t="s">
        <v>19</v>
      </c>
      <c r="R184" s="202"/>
    </row>
    <row r="185" spans="1:23" s="175" customFormat="1" ht="51" x14ac:dyDescent="0.2">
      <c r="A185" s="393"/>
      <c r="B185" s="394"/>
      <c r="C185" s="399"/>
      <c r="D185" s="399"/>
      <c r="E185" s="401"/>
      <c r="F185" s="401"/>
      <c r="G185" s="401"/>
      <c r="H185" s="401"/>
      <c r="I185" s="401"/>
      <c r="J185" s="399"/>
      <c r="K185" s="69" t="s">
        <v>131</v>
      </c>
      <c r="L185" s="67" t="s">
        <v>165</v>
      </c>
      <c r="M185" s="69" t="s">
        <v>35</v>
      </c>
      <c r="N185" s="203">
        <v>3550</v>
      </c>
      <c r="O185" s="203">
        <v>3550</v>
      </c>
      <c r="P185" s="203">
        <v>3200</v>
      </c>
      <c r="Q185" s="203" t="s">
        <v>19</v>
      </c>
      <c r="R185" s="202"/>
    </row>
    <row r="186" spans="1:23" s="175" customFormat="1" x14ac:dyDescent="0.2">
      <c r="A186" s="393"/>
      <c r="B186" s="394"/>
      <c r="C186" s="399"/>
      <c r="D186" s="399"/>
      <c r="E186" s="93" t="s">
        <v>15</v>
      </c>
      <c r="F186" s="94">
        <v>205.4</v>
      </c>
      <c r="G186" s="94">
        <v>215</v>
      </c>
      <c r="H186" s="94">
        <f>ROUND(G186*Lapas1!$A$1,1)</f>
        <v>234.4</v>
      </c>
      <c r="I186" s="94">
        <f>ROUND(H186*Lapas1!$A$2,1)</f>
        <v>264.89999999999998</v>
      </c>
      <c r="J186" s="96"/>
      <c r="K186" s="96"/>
      <c r="L186" s="113"/>
      <c r="M186" s="96"/>
      <c r="N186" s="97"/>
      <c r="O186" s="205"/>
      <c r="P186" s="205"/>
      <c r="Q186" s="205"/>
      <c r="R186" s="202"/>
    </row>
    <row r="187" spans="1:23" s="175" customFormat="1" x14ac:dyDescent="0.2">
      <c r="A187" s="393"/>
      <c r="B187" s="394"/>
      <c r="C187" s="399"/>
      <c r="D187" s="399"/>
      <c r="E187" s="98" t="s">
        <v>22</v>
      </c>
      <c r="F187" s="99">
        <f>SUM(F186:F186)</f>
        <v>205.4</v>
      </c>
      <c r="G187" s="159">
        <f>SUM(G186:G186)</f>
        <v>215</v>
      </c>
      <c r="H187" s="99">
        <f>SUM(H186:H186)</f>
        <v>234.4</v>
      </c>
      <c r="I187" s="99">
        <f>SUM(I186:I186)</f>
        <v>264.89999999999998</v>
      </c>
      <c r="J187" s="95"/>
      <c r="K187" s="95"/>
      <c r="L187" s="114"/>
      <c r="M187" s="96"/>
      <c r="N187" s="97"/>
      <c r="O187" s="205"/>
      <c r="P187" s="205"/>
      <c r="Q187" s="205"/>
      <c r="R187" s="101">
        <f>(G187-F187)/F187</f>
        <v>4.6738072054527721E-2</v>
      </c>
    </row>
    <row r="188" spans="1:23" s="175" customFormat="1" x14ac:dyDescent="0.2">
      <c r="A188" s="131" t="s">
        <v>10</v>
      </c>
      <c r="B188" s="140" t="s">
        <v>0</v>
      </c>
      <c r="C188" s="105"/>
      <c r="D188" s="105" t="s">
        <v>31</v>
      </c>
      <c r="E188" s="115" t="s">
        <v>238</v>
      </c>
      <c r="F188" s="107">
        <f>F187</f>
        <v>205.4</v>
      </c>
      <c r="G188" s="168">
        <f t="shared" ref="G188:I188" si="48">G187</f>
        <v>215</v>
      </c>
      <c r="H188" s="107">
        <f t="shared" si="48"/>
        <v>234.4</v>
      </c>
      <c r="I188" s="107">
        <f t="shared" si="48"/>
        <v>264.89999999999998</v>
      </c>
      <c r="J188" s="108"/>
      <c r="K188" s="207"/>
      <c r="L188" s="207"/>
      <c r="M188" s="207"/>
      <c r="N188" s="208"/>
      <c r="O188" s="208"/>
      <c r="P188" s="208"/>
      <c r="Q188" s="208"/>
      <c r="R188" s="202"/>
    </row>
    <row r="189" spans="1:23" s="175" customFormat="1" ht="25.5" x14ac:dyDescent="0.2">
      <c r="A189" s="393" t="s">
        <v>10</v>
      </c>
      <c r="B189" s="415" t="s">
        <v>10</v>
      </c>
      <c r="C189" s="400"/>
      <c r="D189" s="400" t="s">
        <v>31</v>
      </c>
      <c r="E189" s="411" t="s">
        <v>997</v>
      </c>
      <c r="F189" s="411"/>
      <c r="G189" s="411"/>
      <c r="H189" s="411"/>
      <c r="I189" s="411"/>
      <c r="J189" s="400" t="s">
        <v>212</v>
      </c>
      <c r="K189" s="92" t="s">
        <v>126</v>
      </c>
      <c r="L189" s="92" t="s">
        <v>954</v>
      </c>
      <c r="M189" s="92" t="s">
        <v>12</v>
      </c>
      <c r="N189" s="130">
        <v>5</v>
      </c>
      <c r="O189" s="130">
        <v>5</v>
      </c>
      <c r="P189" s="130">
        <v>6</v>
      </c>
      <c r="Q189" s="412" t="s">
        <v>1027</v>
      </c>
      <c r="R189" s="202"/>
    </row>
    <row r="190" spans="1:23" s="175" customFormat="1" ht="25.5" x14ac:dyDescent="0.2">
      <c r="A190" s="393"/>
      <c r="B190" s="415"/>
      <c r="C190" s="400"/>
      <c r="D190" s="400"/>
      <c r="E190" s="411"/>
      <c r="F190" s="411"/>
      <c r="G190" s="411"/>
      <c r="H190" s="411"/>
      <c r="I190" s="411"/>
      <c r="J190" s="400"/>
      <c r="K190" s="92" t="s">
        <v>127</v>
      </c>
      <c r="L190" s="92" t="s">
        <v>161</v>
      </c>
      <c r="M190" s="92" t="s">
        <v>11</v>
      </c>
      <c r="N190" s="130">
        <v>93</v>
      </c>
      <c r="O190" s="130">
        <v>93</v>
      </c>
      <c r="P190" s="130">
        <v>93</v>
      </c>
      <c r="Q190" s="412"/>
      <c r="R190" s="202"/>
    </row>
    <row r="191" spans="1:23" s="175" customFormat="1" ht="13.5" x14ac:dyDescent="0.2">
      <c r="A191" s="393" t="s">
        <v>10</v>
      </c>
      <c r="B191" s="394" t="s">
        <v>10</v>
      </c>
      <c r="C191" s="395" t="s">
        <v>0</v>
      </c>
      <c r="D191" s="395" t="s">
        <v>21</v>
      </c>
      <c r="E191" s="401" t="s">
        <v>51</v>
      </c>
      <c r="F191" s="401"/>
      <c r="G191" s="401"/>
      <c r="H191" s="401"/>
      <c r="I191" s="401"/>
      <c r="J191" s="138" t="s">
        <v>19</v>
      </c>
      <c r="K191" s="69" t="s">
        <v>128</v>
      </c>
      <c r="L191" s="67" t="s">
        <v>86</v>
      </c>
      <c r="M191" s="69" t="s">
        <v>11</v>
      </c>
      <c r="N191" s="203">
        <v>100</v>
      </c>
      <c r="O191" s="203">
        <v>100</v>
      </c>
      <c r="P191" s="203">
        <v>100</v>
      </c>
      <c r="Q191" s="203" t="s">
        <v>19</v>
      </c>
      <c r="R191" s="202"/>
      <c r="S191" s="2"/>
      <c r="T191" s="2"/>
      <c r="U191" s="2"/>
      <c r="V191" s="2"/>
      <c r="W191" s="2"/>
    </row>
    <row r="192" spans="1:23" s="175" customFormat="1" x14ac:dyDescent="0.2">
      <c r="A192" s="393"/>
      <c r="B192" s="394"/>
      <c r="C192" s="395"/>
      <c r="D192" s="395"/>
      <c r="E192" s="93" t="s">
        <v>14</v>
      </c>
      <c r="F192" s="94">
        <v>35</v>
      </c>
      <c r="G192" s="343">
        <v>63</v>
      </c>
      <c r="H192" s="94">
        <f>ROUND(G192*Lapas1!$A$1,1)</f>
        <v>68.7</v>
      </c>
      <c r="I192" s="94">
        <f>ROUND(H192*Lapas1!$A$2,1)</f>
        <v>77.599999999999994</v>
      </c>
      <c r="J192" s="95"/>
      <c r="K192" s="95"/>
      <c r="L192" s="96"/>
      <c r="M192" s="96"/>
      <c r="N192" s="205"/>
      <c r="O192" s="205"/>
      <c r="P192" s="205"/>
      <c r="Q192" s="205"/>
      <c r="R192" s="202"/>
    </row>
    <row r="193" spans="1:23" s="175" customFormat="1" x14ac:dyDescent="0.2">
      <c r="A193" s="393"/>
      <c r="B193" s="394"/>
      <c r="C193" s="395"/>
      <c r="D193" s="395"/>
      <c r="E193" s="98" t="s">
        <v>22</v>
      </c>
      <c r="F193" s="99">
        <f t="shared" ref="F193:I193" si="49">SUM(F192:F192)</f>
        <v>35</v>
      </c>
      <c r="G193" s="159">
        <f t="shared" si="49"/>
        <v>63</v>
      </c>
      <c r="H193" s="99">
        <f t="shared" si="49"/>
        <v>68.7</v>
      </c>
      <c r="I193" s="99">
        <f t="shared" si="49"/>
        <v>77.599999999999994</v>
      </c>
      <c r="J193" s="95"/>
      <c r="K193" s="95"/>
      <c r="L193" s="96"/>
      <c r="M193" s="96"/>
      <c r="N193" s="205"/>
      <c r="O193" s="205"/>
      <c r="P193" s="205"/>
      <c r="Q193" s="205"/>
      <c r="R193" s="101">
        <f>(G193-F193)/F193</f>
        <v>0.8</v>
      </c>
    </row>
    <row r="194" spans="1:23" s="175" customFormat="1" ht="25.5" x14ac:dyDescent="0.2">
      <c r="A194" s="393" t="s">
        <v>10</v>
      </c>
      <c r="B194" s="394" t="s">
        <v>10</v>
      </c>
      <c r="C194" s="395" t="s">
        <v>10</v>
      </c>
      <c r="D194" s="395" t="s">
        <v>21</v>
      </c>
      <c r="E194" s="401" t="s">
        <v>52</v>
      </c>
      <c r="F194" s="401"/>
      <c r="G194" s="401"/>
      <c r="H194" s="401"/>
      <c r="I194" s="401"/>
      <c r="J194" s="399" t="s">
        <v>19</v>
      </c>
      <c r="K194" s="69" t="s">
        <v>133</v>
      </c>
      <c r="L194" s="67" t="s">
        <v>53</v>
      </c>
      <c r="M194" s="69" t="s">
        <v>35</v>
      </c>
      <c r="N194" s="203">
        <v>150</v>
      </c>
      <c r="O194" s="203">
        <v>150</v>
      </c>
      <c r="P194" s="203">
        <v>150</v>
      </c>
      <c r="Q194" s="203" t="s">
        <v>19</v>
      </c>
      <c r="R194" s="202"/>
      <c r="S194" s="392"/>
      <c r="T194" s="392"/>
      <c r="U194" s="392"/>
      <c r="V194" s="392"/>
      <c r="W194" s="392"/>
    </row>
    <row r="195" spans="1:23" s="175" customFormat="1" x14ac:dyDescent="0.2">
      <c r="A195" s="393"/>
      <c r="B195" s="394"/>
      <c r="C195" s="395"/>
      <c r="D195" s="395"/>
      <c r="E195" s="401"/>
      <c r="F195" s="401"/>
      <c r="G195" s="401"/>
      <c r="H195" s="401"/>
      <c r="I195" s="401"/>
      <c r="J195" s="399"/>
      <c r="K195" s="69" t="s">
        <v>134</v>
      </c>
      <c r="L195" s="67" t="s">
        <v>160</v>
      </c>
      <c r="M195" s="69" t="s">
        <v>11</v>
      </c>
      <c r="N195" s="203">
        <v>100</v>
      </c>
      <c r="O195" s="203">
        <v>100</v>
      </c>
      <c r="P195" s="203">
        <v>100</v>
      </c>
      <c r="Q195" s="203" t="s">
        <v>19</v>
      </c>
      <c r="R195" s="202"/>
      <c r="S195" s="135"/>
      <c r="T195" s="135"/>
      <c r="U195" s="135"/>
      <c r="V195" s="135"/>
      <c r="W195" s="135"/>
    </row>
    <row r="196" spans="1:23" s="175" customFormat="1" x14ac:dyDescent="0.2">
      <c r="A196" s="393"/>
      <c r="B196" s="394"/>
      <c r="C196" s="395"/>
      <c r="D196" s="395"/>
      <c r="E196" s="93" t="s">
        <v>14</v>
      </c>
      <c r="F196" s="94">
        <v>50</v>
      </c>
      <c r="G196" s="343">
        <v>21.8</v>
      </c>
      <c r="H196" s="94">
        <f>ROUND(G196*Lapas1!$A$1,1)</f>
        <v>23.8</v>
      </c>
      <c r="I196" s="94">
        <f>ROUND(H196*Lapas1!$A$2,1)</f>
        <v>26.9</v>
      </c>
      <c r="J196" s="95"/>
      <c r="K196" s="95"/>
      <c r="L196" s="114"/>
      <c r="M196" s="96"/>
      <c r="N196" s="205"/>
      <c r="O196" s="205"/>
      <c r="P196" s="205"/>
      <c r="Q196" s="205"/>
      <c r="R196" s="202"/>
    </row>
    <row r="197" spans="1:23" s="175" customFormat="1" x14ac:dyDescent="0.2">
      <c r="A197" s="393"/>
      <c r="B197" s="394"/>
      <c r="C197" s="395"/>
      <c r="D197" s="395"/>
      <c r="E197" s="93" t="s">
        <v>15</v>
      </c>
      <c r="F197" s="94">
        <v>376.5</v>
      </c>
      <c r="G197" s="343">
        <v>560</v>
      </c>
      <c r="H197" s="94">
        <f>ROUND(G197*Lapas1!$A$1,1)</f>
        <v>610.4</v>
      </c>
      <c r="I197" s="94">
        <f>ROUND(H197*Lapas1!$A$2,1)</f>
        <v>689.8</v>
      </c>
      <c r="J197" s="95"/>
      <c r="K197" s="95"/>
      <c r="L197" s="114"/>
      <c r="M197" s="96"/>
      <c r="N197" s="205"/>
      <c r="O197" s="205"/>
      <c r="P197" s="205"/>
      <c r="Q197" s="205"/>
      <c r="R197" s="202"/>
    </row>
    <row r="198" spans="1:23" s="175" customFormat="1" x14ac:dyDescent="0.2">
      <c r="A198" s="393"/>
      <c r="B198" s="394"/>
      <c r="C198" s="395"/>
      <c r="D198" s="395"/>
      <c r="E198" s="98" t="s">
        <v>22</v>
      </c>
      <c r="F198" s="99">
        <f>SUM(F196:F197)</f>
        <v>426.5</v>
      </c>
      <c r="G198" s="159">
        <f>SUM(G196:G197)</f>
        <v>581.79999999999995</v>
      </c>
      <c r="H198" s="99">
        <f>SUM(H196:H197)</f>
        <v>634.19999999999993</v>
      </c>
      <c r="I198" s="99">
        <f>SUM(I196:I197)</f>
        <v>716.69999999999993</v>
      </c>
      <c r="J198" s="95"/>
      <c r="K198" s="95"/>
      <c r="L198" s="114"/>
      <c r="M198" s="96"/>
      <c r="N198" s="205"/>
      <c r="O198" s="205"/>
      <c r="P198" s="205"/>
      <c r="Q198" s="205"/>
      <c r="R198" s="101">
        <f>(G198-F198)/F198</f>
        <v>0.36412661195779589</v>
      </c>
    </row>
    <row r="199" spans="1:23" s="175" customFormat="1" x14ac:dyDescent="0.2">
      <c r="A199" s="393" t="s">
        <v>10</v>
      </c>
      <c r="B199" s="394" t="s">
        <v>10</v>
      </c>
      <c r="C199" s="395" t="s">
        <v>24</v>
      </c>
      <c r="D199" s="395" t="s">
        <v>21</v>
      </c>
      <c r="E199" s="401" t="s">
        <v>54</v>
      </c>
      <c r="F199" s="401"/>
      <c r="G199" s="401"/>
      <c r="H199" s="401"/>
      <c r="I199" s="401"/>
      <c r="J199" s="399" t="s">
        <v>19</v>
      </c>
      <c r="K199" s="69" t="s">
        <v>135</v>
      </c>
      <c r="L199" s="67" t="s">
        <v>55</v>
      </c>
      <c r="M199" s="69" t="s">
        <v>35</v>
      </c>
      <c r="N199" s="203">
        <v>1280</v>
      </c>
      <c r="O199" s="203">
        <v>1300</v>
      </c>
      <c r="P199" s="203">
        <v>1350</v>
      </c>
      <c r="Q199" s="203" t="s">
        <v>19</v>
      </c>
      <c r="R199" s="202"/>
      <c r="S199" s="397"/>
      <c r="T199" s="397"/>
      <c r="U199" s="397"/>
      <c r="V199" s="397"/>
      <c r="W199" s="397"/>
    </row>
    <row r="200" spans="1:23" s="175" customFormat="1" x14ac:dyDescent="0.2">
      <c r="A200" s="393"/>
      <c r="B200" s="394"/>
      <c r="C200" s="395"/>
      <c r="D200" s="395"/>
      <c r="E200" s="401"/>
      <c r="F200" s="401"/>
      <c r="G200" s="401"/>
      <c r="H200" s="401"/>
      <c r="I200" s="401"/>
      <c r="J200" s="399"/>
      <c r="K200" s="69" t="s">
        <v>136</v>
      </c>
      <c r="L200" s="67" t="s">
        <v>56</v>
      </c>
      <c r="M200" s="69" t="s">
        <v>12</v>
      </c>
      <c r="N200" s="203">
        <v>18</v>
      </c>
      <c r="O200" s="203">
        <v>19</v>
      </c>
      <c r="P200" s="203">
        <v>20</v>
      </c>
      <c r="Q200" s="203" t="s">
        <v>19</v>
      </c>
      <c r="R200" s="202"/>
      <c r="S200" s="135"/>
      <c r="T200" s="135"/>
      <c r="U200" s="135"/>
      <c r="V200" s="135"/>
      <c r="W200" s="135"/>
    </row>
    <row r="201" spans="1:23" s="175" customFormat="1" x14ac:dyDescent="0.2">
      <c r="A201" s="393"/>
      <c r="B201" s="394"/>
      <c r="C201" s="395"/>
      <c r="D201" s="395"/>
      <c r="E201" s="93" t="s">
        <v>15</v>
      </c>
      <c r="F201" s="94">
        <v>283.60000000000002</v>
      </c>
      <c r="G201" s="343">
        <v>281.726</v>
      </c>
      <c r="H201" s="94">
        <f>ROUND(G201*Lapas1!$A$1,1)</f>
        <v>307.10000000000002</v>
      </c>
      <c r="I201" s="94">
        <f>ROUND(H201*Lapas1!$A$2,1)</f>
        <v>347</v>
      </c>
      <c r="J201" s="95"/>
      <c r="K201" s="95"/>
      <c r="L201" s="114"/>
      <c r="M201" s="96"/>
      <c r="N201" s="205"/>
      <c r="O201" s="205"/>
      <c r="P201" s="205"/>
      <c r="Q201" s="205"/>
      <c r="R201" s="202"/>
    </row>
    <row r="202" spans="1:23" s="175" customFormat="1" x14ac:dyDescent="0.2">
      <c r="A202" s="393"/>
      <c r="B202" s="394"/>
      <c r="C202" s="395"/>
      <c r="D202" s="395"/>
      <c r="E202" s="98" t="s">
        <v>22</v>
      </c>
      <c r="F202" s="99">
        <f>SUM(F201:F201)</f>
        <v>283.60000000000002</v>
      </c>
      <c r="G202" s="159">
        <f>SUM(G201:G201)</f>
        <v>281.726</v>
      </c>
      <c r="H202" s="99">
        <f>SUM(H201:H201)</f>
        <v>307.10000000000002</v>
      </c>
      <c r="I202" s="99">
        <f>SUM(I201:I201)</f>
        <v>347</v>
      </c>
      <c r="J202" s="95"/>
      <c r="K202" s="95"/>
      <c r="L202" s="114"/>
      <c r="M202" s="96"/>
      <c r="N202" s="205"/>
      <c r="O202" s="205"/>
      <c r="P202" s="205"/>
      <c r="Q202" s="205"/>
      <c r="R202" s="101">
        <f>(G202-F202)/F202</f>
        <v>-6.6078984485191238E-3</v>
      </c>
    </row>
    <row r="203" spans="1:23" s="175" customFormat="1" x14ac:dyDescent="0.2">
      <c r="A203" s="393" t="s">
        <v>10</v>
      </c>
      <c r="B203" s="394" t="s">
        <v>10</v>
      </c>
      <c r="C203" s="395" t="s">
        <v>25</v>
      </c>
      <c r="D203" s="395" t="s">
        <v>21</v>
      </c>
      <c r="E203" s="401" t="s">
        <v>57</v>
      </c>
      <c r="F203" s="401"/>
      <c r="G203" s="401"/>
      <c r="H203" s="401"/>
      <c r="I203" s="401"/>
      <c r="J203" s="399" t="s">
        <v>19</v>
      </c>
      <c r="K203" s="69" t="s">
        <v>137</v>
      </c>
      <c r="L203" s="67" t="s">
        <v>58</v>
      </c>
      <c r="M203" s="69" t="s">
        <v>12</v>
      </c>
      <c r="N203" s="203">
        <v>16</v>
      </c>
      <c r="O203" s="203">
        <v>17</v>
      </c>
      <c r="P203" s="203">
        <v>18</v>
      </c>
      <c r="Q203" s="203" t="s">
        <v>19</v>
      </c>
      <c r="R203" s="202"/>
      <c r="S203" s="392"/>
      <c r="T203" s="392"/>
      <c r="U203" s="392"/>
      <c r="V203" s="392"/>
      <c r="W203" s="392"/>
    </row>
    <row r="204" spans="1:23" s="175" customFormat="1" x14ac:dyDescent="0.2">
      <c r="A204" s="393"/>
      <c r="B204" s="394"/>
      <c r="C204" s="395"/>
      <c r="D204" s="395"/>
      <c r="E204" s="401"/>
      <c r="F204" s="401"/>
      <c r="G204" s="401"/>
      <c r="H204" s="401"/>
      <c r="I204" s="401"/>
      <c r="J204" s="399"/>
      <c r="K204" s="69" t="s">
        <v>138</v>
      </c>
      <c r="L204" s="67" t="s">
        <v>59</v>
      </c>
      <c r="M204" s="69" t="s">
        <v>12</v>
      </c>
      <c r="N204" s="203">
        <v>646</v>
      </c>
      <c r="O204" s="203">
        <v>650</v>
      </c>
      <c r="P204" s="203">
        <v>660</v>
      </c>
      <c r="Q204" s="203" t="s">
        <v>19</v>
      </c>
      <c r="R204" s="202"/>
      <c r="S204" s="135"/>
      <c r="T204" s="135"/>
      <c r="U204" s="135"/>
      <c r="V204" s="135"/>
      <c r="W204" s="135"/>
    </row>
    <row r="205" spans="1:23" s="175" customFormat="1" x14ac:dyDescent="0.2">
      <c r="A205" s="393"/>
      <c r="B205" s="394"/>
      <c r="C205" s="395"/>
      <c r="D205" s="395"/>
      <c r="E205" s="93" t="s">
        <v>14</v>
      </c>
      <c r="F205" s="94">
        <v>35</v>
      </c>
      <c r="G205" s="343">
        <v>35</v>
      </c>
      <c r="H205" s="94">
        <f>ROUND(G205*Lapas1!$A$1,1)</f>
        <v>38.200000000000003</v>
      </c>
      <c r="I205" s="94">
        <f>ROUND(H205*Lapas1!$A$2,1)</f>
        <v>43.2</v>
      </c>
      <c r="J205" s="95"/>
      <c r="K205" s="95"/>
      <c r="L205" s="96"/>
      <c r="M205" s="96"/>
      <c r="N205" s="97"/>
      <c r="O205" s="205"/>
      <c r="P205" s="205"/>
      <c r="Q205" s="205"/>
      <c r="R205" s="202"/>
    </row>
    <row r="206" spans="1:23" s="175" customFormat="1" x14ac:dyDescent="0.2">
      <c r="A206" s="393"/>
      <c r="B206" s="394"/>
      <c r="C206" s="395"/>
      <c r="D206" s="395"/>
      <c r="E206" s="98" t="s">
        <v>22</v>
      </c>
      <c r="F206" s="99">
        <f t="shared" ref="F206" si="50">SUM(F205:F205)</f>
        <v>35</v>
      </c>
      <c r="G206" s="159">
        <f t="shared" ref="G206:I206" si="51">SUM(G205:G205)</f>
        <v>35</v>
      </c>
      <c r="H206" s="99">
        <f t="shared" si="51"/>
        <v>38.200000000000003</v>
      </c>
      <c r="I206" s="99">
        <f t="shared" si="51"/>
        <v>43.2</v>
      </c>
      <c r="J206" s="95"/>
      <c r="K206" s="95"/>
      <c r="L206" s="96"/>
      <c r="M206" s="96"/>
      <c r="N206" s="97"/>
      <c r="O206" s="205"/>
      <c r="P206" s="205"/>
      <c r="Q206" s="205"/>
      <c r="R206" s="101">
        <f>(G206-F206)/F206</f>
        <v>0</v>
      </c>
    </row>
    <row r="207" spans="1:23" s="175" customFormat="1" ht="25.5" x14ac:dyDescent="0.2">
      <c r="A207" s="393" t="s">
        <v>10</v>
      </c>
      <c r="B207" s="394" t="s">
        <v>10</v>
      </c>
      <c r="C207" s="395" t="s">
        <v>26</v>
      </c>
      <c r="D207" s="395" t="s">
        <v>21</v>
      </c>
      <c r="E207" s="396" t="s">
        <v>992</v>
      </c>
      <c r="F207" s="396"/>
      <c r="G207" s="396"/>
      <c r="H207" s="396"/>
      <c r="I207" s="396"/>
      <c r="J207" s="132" t="s">
        <v>19</v>
      </c>
      <c r="K207" s="377" t="s">
        <v>993</v>
      </c>
      <c r="L207" s="378" t="s">
        <v>994</v>
      </c>
      <c r="M207" s="377" t="s">
        <v>12</v>
      </c>
      <c r="N207" s="379">
        <v>40</v>
      </c>
      <c r="O207" s="379">
        <v>50</v>
      </c>
      <c r="P207" s="379">
        <v>60</v>
      </c>
      <c r="Q207" s="203" t="s">
        <v>19</v>
      </c>
      <c r="R207" s="202"/>
      <c r="S207" s="392"/>
      <c r="T207" s="392"/>
      <c r="U207" s="392"/>
      <c r="V207" s="392"/>
      <c r="W207" s="392"/>
    </row>
    <row r="208" spans="1:23" s="175" customFormat="1" x14ac:dyDescent="0.2">
      <c r="A208" s="393"/>
      <c r="B208" s="394"/>
      <c r="C208" s="395"/>
      <c r="D208" s="395"/>
      <c r="E208" s="93" t="s">
        <v>14</v>
      </c>
      <c r="F208" s="94"/>
      <c r="G208" s="343">
        <v>17</v>
      </c>
      <c r="H208" s="94">
        <f>ROUND(G208*Lapas1!$A$1,1)</f>
        <v>18.5</v>
      </c>
      <c r="I208" s="94">
        <f>ROUND(H208*Lapas1!$A$2,1)</f>
        <v>20.9</v>
      </c>
      <c r="J208" s="95"/>
      <c r="K208" s="95"/>
      <c r="L208" s="96"/>
      <c r="M208" s="96"/>
      <c r="N208" s="97"/>
      <c r="O208" s="205"/>
      <c r="P208" s="205"/>
      <c r="Q208" s="205"/>
      <c r="R208" s="202"/>
    </row>
    <row r="209" spans="1:23" s="175" customFormat="1" x14ac:dyDescent="0.2">
      <c r="A209" s="393"/>
      <c r="B209" s="394"/>
      <c r="C209" s="395"/>
      <c r="D209" s="395"/>
      <c r="E209" s="98" t="s">
        <v>22</v>
      </c>
      <c r="F209" s="99">
        <f t="shared" ref="F209" si="52">SUM(F208:F208)</f>
        <v>0</v>
      </c>
      <c r="G209" s="159">
        <f t="shared" ref="G209:I209" si="53">SUM(G208:G208)</f>
        <v>17</v>
      </c>
      <c r="H209" s="99">
        <f t="shared" si="53"/>
        <v>18.5</v>
      </c>
      <c r="I209" s="99">
        <f t="shared" si="53"/>
        <v>20.9</v>
      </c>
      <c r="J209" s="95"/>
      <c r="K209" s="95"/>
      <c r="L209" s="96"/>
      <c r="M209" s="96"/>
      <c r="N209" s="97"/>
      <c r="O209" s="205"/>
      <c r="P209" s="205"/>
      <c r="Q209" s="205"/>
      <c r="R209" s="101" t="e">
        <f>(G209-F209)/F209</f>
        <v>#DIV/0!</v>
      </c>
    </row>
    <row r="210" spans="1:23" s="175" customFormat="1" x14ac:dyDescent="0.2">
      <c r="A210" s="131" t="s">
        <v>10</v>
      </c>
      <c r="B210" s="140" t="s">
        <v>10</v>
      </c>
      <c r="C210" s="105"/>
      <c r="D210" s="105" t="s">
        <v>31</v>
      </c>
      <c r="E210" s="115" t="s">
        <v>238</v>
      </c>
      <c r="F210" s="107">
        <f>F193+F198+F202+F206+F209</f>
        <v>780.1</v>
      </c>
      <c r="G210" s="107">
        <f t="shared" ref="G210:I210" si="54">G193+G198+G202+G206+G209</f>
        <v>978.52599999999995</v>
      </c>
      <c r="H210" s="107">
        <f t="shared" si="54"/>
        <v>1066.7</v>
      </c>
      <c r="I210" s="107">
        <f t="shared" si="54"/>
        <v>1205.4000000000001</v>
      </c>
      <c r="J210" s="108"/>
      <c r="K210" s="207"/>
      <c r="L210" s="207"/>
      <c r="M210" s="207"/>
      <c r="N210" s="208"/>
      <c r="O210" s="208"/>
      <c r="P210" s="208"/>
      <c r="Q210" s="208"/>
      <c r="R210" s="202"/>
    </row>
    <row r="211" spans="1:23" s="175" customFormat="1" x14ac:dyDescent="0.2">
      <c r="A211" s="209" t="s">
        <v>10</v>
      </c>
      <c r="B211" s="109"/>
      <c r="C211" s="109"/>
      <c r="D211" s="109"/>
      <c r="E211" s="112" t="s">
        <v>239</v>
      </c>
      <c r="F211" s="111">
        <f>F210+F188</f>
        <v>985.5</v>
      </c>
      <c r="G211" s="169">
        <f>G210+G188</f>
        <v>1193.5259999999998</v>
      </c>
      <c r="H211" s="111">
        <f>H210+H188</f>
        <v>1301.1000000000001</v>
      </c>
      <c r="I211" s="111">
        <f>I210+I188</f>
        <v>1470.3000000000002</v>
      </c>
      <c r="J211" s="112"/>
      <c r="K211" s="210"/>
      <c r="L211" s="210"/>
      <c r="M211" s="210"/>
      <c r="N211" s="211"/>
      <c r="O211" s="211"/>
      <c r="P211" s="211"/>
      <c r="Q211" s="211"/>
      <c r="R211" s="202"/>
    </row>
    <row r="212" spans="1:23" s="175" customFormat="1" x14ac:dyDescent="0.2">
      <c r="A212" s="131" t="s">
        <v>24</v>
      </c>
      <c r="B212" s="91"/>
      <c r="C212" s="91"/>
      <c r="D212" s="91"/>
      <c r="E212" s="410" t="s">
        <v>840</v>
      </c>
      <c r="F212" s="410"/>
      <c r="G212" s="410"/>
      <c r="H212" s="410"/>
      <c r="I212" s="410"/>
      <c r="J212" s="410"/>
      <c r="K212" s="410"/>
      <c r="L212" s="410"/>
      <c r="M212" s="410"/>
      <c r="N212" s="410"/>
      <c r="O212" s="410"/>
      <c r="P212" s="410"/>
      <c r="Q212" s="410"/>
      <c r="R212" s="202"/>
    </row>
    <row r="213" spans="1:23" s="175" customFormat="1" ht="25.5" x14ac:dyDescent="0.2">
      <c r="A213" s="393" t="s">
        <v>24</v>
      </c>
      <c r="B213" s="404" t="s">
        <v>0</v>
      </c>
      <c r="C213" s="400"/>
      <c r="D213" s="400" t="s">
        <v>31</v>
      </c>
      <c r="E213" s="411" t="s">
        <v>892</v>
      </c>
      <c r="F213" s="411"/>
      <c r="G213" s="411"/>
      <c r="H213" s="411"/>
      <c r="I213" s="411"/>
      <c r="J213" s="400" t="s">
        <v>139</v>
      </c>
      <c r="K213" s="92" t="s">
        <v>41</v>
      </c>
      <c r="L213" s="92" t="s">
        <v>141</v>
      </c>
      <c r="M213" s="92" t="s">
        <v>12</v>
      </c>
      <c r="N213" s="130">
        <v>6</v>
      </c>
      <c r="O213" s="130">
        <v>6</v>
      </c>
      <c r="P213" s="130">
        <v>6</v>
      </c>
      <c r="Q213" s="412" t="s">
        <v>1013</v>
      </c>
      <c r="R213" s="202"/>
    </row>
    <row r="214" spans="1:23" s="175" customFormat="1" ht="25.5" x14ac:dyDescent="0.2">
      <c r="A214" s="393"/>
      <c r="B214" s="404"/>
      <c r="C214" s="400"/>
      <c r="D214" s="400"/>
      <c r="E214" s="411"/>
      <c r="F214" s="411"/>
      <c r="G214" s="411"/>
      <c r="H214" s="411"/>
      <c r="I214" s="411"/>
      <c r="J214" s="400"/>
      <c r="K214" s="92" t="s">
        <v>140</v>
      </c>
      <c r="L214" s="92" t="s">
        <v>953</v>
      </c>
      <c r="M214" s="92" t="s">
        <v>12</v>
      </c>
      <c r="N214" s="130">
        <v>140</v>
      </c>
      <c r="O214" s="130">
        <v>150</v>
      </c>
      <c r="P214" s="130">
        <v>160</v>
      </c>
      <c r="Q214" s="412"/>
      <c r="R214" s="202"/>
    </row>
    <row r="215" spans="1:23" s="175" customFormat="1" ht="25.5" x14ac:dyDescent="0.2">
      <c r="A215" s="393"/>
      <c r="B215" s="404"/>
      <c r="C215" s="400"/>
      <c r="D215" s="400"/>
      <c r="E215" s="411"/>
      <c r="F215" s="411"/>
      <c r="G215" s="411"/>
      <c r="H215" s="411"/>
      <c r="I215" s="411"/>
      <c r="J215" s="400"/>
      <c r="K215" s="92" t="s">
        <v>42</v>
      </c>
      <c r="L215" s="92" t="s">
        <v>62</v>
      </c>
      <c r="M215" s="92" t="s">
        <v>35</v>
      </c>
      <c r="N215" s="130">
        <v>1100</v>
      </c>
      <c r="O215" s="130">
        <v>1500</v>
      </c>
      <c r="P215" s="130">
        <v>1600</v>
      </c>
      <c r="Q215" s="412"/>
      <c r="R215" s="202"/>
    </row>
    <row r="216" spans="1:23" s="175" customFormat="1" x14ac:dyDescent="0.2">
      <c r="A216" s="393" t="s">
        <v>24</v>
      </c>
      <c r="B216" s="394" t="s">
        <v>0</v>
      </c>
      <c r="C216" s="399" t="s">
        <v>0</v>
      </c>
      <c r="D216" s="399" t="s">
        <v>21</v>
      </c>
      <c r="E216" s="401" t="s">
        <v>63</v>
      </c>
      <c r="F216" s="401"/>
      <c r="G216" s="401"/>
      <c r="H216" s="401"/>
      <c r="I216" s="401"/>
      <c r="J216" s="398" t="s">
        <v>19</v>
      </c>
      <c r="K216" s="69" t="s">
        <v>166</v>
      </c>
      <c r="L216" s="67" t="s">
        <v>64</v>
      </c>
      <c r="M216" s="69" t="s">
        <v>12</v>
      </c>
      <c r="N216" s="203">
        <v>9</v>
      </c>
      <c r="O216" s="203">
        <v>10</v>
      </c>
      <c r="P216" s="203">
        <v>10</v>
      </c>
      <c r="Q216" s="203" t="s">
        <v>19</v>
      </c>
      <c r="R216" s="202"/>
      <c r="S216" s="397"/>
      <c r="T216" s="397"/>
      <c r="U216" s="397"/>
      <c r="V216" s="397"/>
      <c r="W216" s="397"/>
    </row>
    <row r="217" spans="1:23" s="175" customFormat="1" x14ac:dyDescent="0.2">
      <c r="A217" s="393"/>
      <c r="B217" s="394"/>
      <c r="C217" s="399"/>
      <c r="D217" s="399"/>
      <c r="E217" s="401"/>
      <c r="F217" s="401"/>
      <c r="G217" s="401"/>
      <c r="H217" s="401"/>
      <c r="I217" s="401"/>
      <c r="J217" s="398"/>
      <c r="K217" s="69" t="s">
        <v>167</v>
      </c>
      <c r="L217" s="67" t="s">
        <v>65</v>
      </c>
      <c r="M217" s="69" t="s">
        <v>35</v>
      </c>
      <c r="N217" s="203">
        <v>6</v>
      </c>
      <c r="O217" s="203">
        <v>7</v>
      </c>
      <c r="P217" s="203">
        <v>7</v>
      </c>
      <c r="Q217" s="203" t="s">
        <v>19</v>
      </c>
      <c r="R217" s="202"/>
      <c r="S217" s="397"/>
      <c r="T217" s="397"/>
      <c r="U217" s="397"/>
      <c r="V217" s="397"/>
      <c r="W217" s="397"/>
    </row>
    <row r="218" spans="1:23" s="175" customFormat="1" x14ac:dyDescent="0.2">
      <c r="A218" s="393"/>
      <c r="B218" s="394"/>
      <c r="C218" s="399"/>
      <c r="D218" s="399"/>
      <c r="E218" s="401"/>
      <c r="F218" s="401"/>
      <c r="G218" s="401"/>
      <c r="H218" s="401"/>
      <c r="I218" s="401"/>
      <c r="J218" s="398"/>
      <c r="K218" s="116" t="s">
        <v>170</v>
      </c>
      <c r="L218" s="67" t="s">
        <v>171</v>
      </c>
      <c r="M218" s="116" t="s">
        <v>35</v>
      </c>
      <c r="N218" s="203">
        <v>25</v>
      </c>
      <c r="O218" s="203">
        <v>27</v>
      </c>
      <c r="P218" s="203">
        <v>30</v>
      </c>
      <c r="Q218" s="203" t="s">
        <v>19</v>
      </c>
      <c r="R218" s="202"/>
      <c r="S218" s="136"/>
      <c r="T218" s="136"/>
      <c r="U218" s="136"/>
      <c r="V218" s="136"/>
      <c r="W218" s="136"/>
    </row>
    <row r="219" spans="1:23" s="175" customFormat="1" x14ac:dyDescent="0.2">
      <c r="A219" s="393"/>
      <c r="B219" s="394"/>
      <c r="C219" s="399"/>
      <c r="D219" s="399"/>
      <c r="E219" s="93" t="s">
        <v>14</v>
      </c>
      <c r="F219" s="94">
        <v>35</v>
      </c>
      <c r="G219" s="343">
        <v>88</v>
      </c>
      <c r="H219" s="94">
        <f>ROUND(G219*Lapas1!$A$1,1)</f>
        <v>95.9</v>
      </c>
      <c r="I219" s="94">
        <f>ROUND(H219*Lapas1!$A$2,1)</f>
        <v>108.4</v>
      </c>
      <c r="J219" s="95"/>
      <c r="K219" s="95"/>
      <c r="L219" s="96"/>
      <c r="M219" s="96"/>
      <c r="N219" s="205"/>
      <c r="O219" s="205"/>
      <c r="P219" s="205"/>
      <c r="Q219" s="205"/>
      <c r="R219" s="202"/>
    </row>
    <row r="220" spans="1:23" s="175" customFormat="1" x14ac:dyDescent="0.2">
      <c r="A220" s="393"/>
      <c r="B220" s="394"/>
      <c r="C220" s="399"/>
      <c r="D220" s="399"/>
      <c r="E220" s="93" t="s">
        <v>15</v>
      </c>
      <c r="F220" s="94"/>
      <c r="G220" s="94"/>
      <c r="H220" s="94">
        <f>ROUND(G220*Lapas1!$A$1,1)</f>
        <v>0</v>
      </c>
      <c r="I220" s="94">
        <f>ROUND(H220*Lapas1!$A$2,1)</f>
        <v>0</v>
      </c>
      <c r="J220" s="95"/>
      <c r="K220" s="95"/>
      <c r="L220" s="96"/>
      <c r="M220" s="96"/>
      <c r="N220" s="205"/>
      <c r="O220" s="205"/>
      <c r="P220" s="205"/>
      <c r="Q220" s="205"/>
      <c r="R220" s="202"/>
    </row>
    <row r="221" spans="1:23" s="175" customFormat="1" x14ac:dyDescent="0.2">
      <c r="A221" s="393"/>
      <c r="B221" s="394"/>
      <c r="C221" s="399"/>
      <c r="D221" s="399"/>
      <c r="E221" s="117"/>
      <c r="F221" s="99">
        <f>SUM(F219:F220)</f>
        <v>35</v>
      </c>
      <c r="G221" s="159">
        <f t="shared" ref="G221:I221" si="55">SUM(G219:G220)</f>
        <v>88</v>
      </c>
      <c r="H221" s="99">
        <f t="shared" si="55"/>
        <v>95.9</v>
      </c>
      <c r="I221" s="99">
        <f t="shared" si="55"/>
        <v>108.4</v>
      </c>
      <c r="J221" s="95"/>
      <c r="K221" s="95"/>
      <c r="L221" s="96"/>
      <c r="M221" s="96"/>
      <c r="N221" s="205"/>
      <c r="O221" s="205"/>
      <c r="P221" s="205"/>
      <c r="Q221" s="205"/>
      <c r="R221" s="101">
        <f>(G221-F221)/F221</f>
        <v>1.5142857142857142</v>
      </c>
    </row>
    <row r="222" spans="1:23" s="175" customFormat="1" x14ac:dyDescent="0.2">
      <c r="A222" s="393" t="s">
        <v>24</v>
      </c>
      <c r="B222" s="394" t="s">
        <v>0</v>
      </c>
      <c r="C222" s="395" t="s">
        <v>10</v>
      </c>
      <c r="D222" s="395" t="s">
        <v>21</v>
      </c>
      <c r="E222" s="401" t="s">
        <v>228</v>
      </c>
      <c r="F222" s="401"/>
      <c r="G222" s="401"/>
      <c r="H222" s="401"/>
      <c r="I222" s="401"/>
      <c r="J222" s="398" t="s">
        <v>19</v>
      </c>
      <c r="K222" s="69" t="s">
        <v>60</v>
      </c>
      <c r="L222" s="93" t="s">
        <v>142</v>
      </c>
      <c r="M222" s="69" t="s">
        <v>12</v>
      </c>
      <c r="N222" s="203">
        <v>40</v>
      </c>
      <c r="O222" s="203">
        <v>45</v>
      </c>
      <c r="P222" s="203">
        <v>45</v>
      </c>
      <c r="Q222" s="203" t="s">
        <v>19</v>
      </c>
      <c r="R222" s="202"/>
      <c r="S222" s="136"/>
      <c r="T222" s="136"/>
      <c r="U222" s="136"/>
      <c r="V222" s="136"/>
      <c r="W222" s="136"/>
    </row>
    <row r="223" spans="1:23" s="175" customFormat="1" x14ac:dyDescent="0.2">
      <c r="A223" s="393"/>
      <c r="B223" s="394"/>
      <c r="C223" s="395"/>
      <c r="D223" s="395"/>
      <c r="E223" s="401"/>
      <c r="F223" s="401"/>
      <c r="G223" s="401"/>
      <c r="H223" s="401"/>
      <c r="I223" s="401"/>
      <c r="J223" s="398"/>
      <c r="K223" s="69" t="s">
        <v>144</v>
      </c>
      <c r="L223" s="93" t="s">
        <v>66</v>
      </c>
      <c r="M223" s="69" t="s">
        <v>12</v>
      </c>
      <c r="N223" s="203">
        <v>2300</v>
      </c>
      <c r="O223" s="203">
        <v>2400</v>
      </c>
      <c r="P223" s="203">
        <v>2400</v>
      </c>
      <c r="Q223" s="203" t="s">
        <v>19</v>
      </c>
      <c r="R223" s="202"/>
      <c r="S223" s="136"/>
      <c r="T223" s="136"/>
      <c r="U223" s="136"/>
      <c r="V223" s="136"/>
      <c r="W223" s="136"/>
    </row>
    <row r="224" spans="1:23" s="175" customFormat="1" x14ac:dyDescent="0.2">
      <c r="A224" s="393"/>
      <c r="B224" s="394"/>
      <c r="C224" s="395"/>
      <c r="D224" s="395"/>
      <c r="E224" s="93" t="s">
        <v>14</v>
      </c>
      <c r="F224" s="94">
        <v>95</v>
      </c>
      <c r="G224" s="343">
        <v>128.30000000000001</v>
      </c>
      <c r="H224" s="94">
        <f>ROUND(G224*Lapas1!$A$1,1)</f>
        <v>139.80000000000001</v>
      </c>
      <c r="I224" s="94">
        <f>ROUND(H224*Lapas1!$A$2,1)</f>
        <v>158</v>
      </c>
      <c r="J224" s="95"/>
      <c r="K224" s="95"/>
      <c r="L224" s="96"/>
      <c r="M224" s="96"/>
      <c r="N224" s="97"/>
      <c r="O224" s="205"/>
      <c r="P224" s="205"/>
      <c r="Q224" s="205"/>
      <c r="R224" s="202"/>
    </row>
    <row r="225" spans="1:23" s="175" customFormat="1" x14ac:dyDescent="0.2">
      <c r="A225" s="393"/>
      <c r="B225" s="394"/>
      <c r="C225" s="395"/>
      <c r="D225" s="395"/>
      <c r="E225" s="117"/>
      <c r="F225" s="99">
        <f t="shared" ref="F225" si="56">SUM(F224:F224)</f>
        <v>95</v>
      </c>
      <c r="G225" s="159">
        <f t="shared" ref="G225:I225" si="57">SUM(G224:G224)</f>
        <v>128.30000000000001</v>
      </c>
      <c r="H225" s="99">
        <f t="shared" si="57"/>
        <v>139.80000000000001</v>
      </c>
      <c r="I225" s="99">
        <f t="shared" si="57"/>
        <v>158</v>
      </c>
      <c r="J225" s="95"/>
      <c r="K225" s="95"/>
      <c r="L225" s="96"/>
      <c r="M225" s="96"/>
      <c r="N225" s="97"/>
      <c r="O225" s="205"/>
      <c r="P225" s="205"/>
      <c r="Q225" s="205"/>
      <c r="R225" s="101">
        <f>(G225-F225)/F225</f>
        <v>0.3505263157894738</v>
      </c>
    </row>
    <row r="226" spans="1:23" s="175" customFormat="1" x14ac:dyDescent="0.2">
      <c r="A226" s="131" t="s">
        <v>24</v>
      </c>
      <c r="B226" s="137" t="s">
        <v>0</v>
      </c>
      <c r="C226" s="105"/>
      <c r="D226" s="105" t="s">
        <v>31</v>
      </c>
      <c r="E226" s="106" t="s">
        <v>238</v>
      </c>
      <c r="F226" s="107">
        <f>F225+F221</f>
        <v>130</v>
      </c>
      <c r="G226" s="168">
        <f t="shared" ref="G226:I226" si="58">G225+G221</f>
        <v>216.3</v>
      </c>
      <c r="H226" s="107">
        <f t="shared" si="58"/>
        <v>235.70000000000002</v>
      </c>
      <c r="I226" s="107">
        <f t="shared" si="58"/>
        <v>266.39999999999998</v>
      </c>
      <c r="J226" s="108"/>
      <c r="K226" s="207"/>
      <c r="L226" s="207"/>
      <c r="M226" s="207"/>
      <c r="N226" s="207"/>
      <c r="O226" s="207"/>
      <c r="P226" s="207"/>
      <c r="Q226" s="207"/>
      <c r="R226" s="202"/>
    </row>
    <row r="227" spans="1:23" s="175" customFormat="1" x14ac:dyDescent="0.2">
      <c r="A227" s="209" t="s">
        <v>24</v>
      </c>
      <c r="B227" s="109"/>
      <c r="C227" s="109"/>
      <c r="D227" s="109"/>
      <c r="E227" s="110" t="s">
        <v>239</v>
      </c>
      <c r="F227" s="111">
        <f>F226</f>
        <v>130</v>
      </c>
      <c r="G227" s="169">
        <f t="shared" ref="G227:I227" si="59">G226</f>
        <v>216.3</v>
      </c>
      <c r="H227" s="111">
        <f t="shared" si="59"/>
        <v>235.70000000000002</v>
      </c>
      <c r="I227" s="111">
        <f t="shared" si="59"/>
        <v>266.39999999999998</v>
      </c>
      <c r="J227" s="112"/>
      <c r="K227" s="210"/>
      <c r="L227" s="210"/>
      <c r="M227" s="210"/>
      <c r="N227" s="210"/>
      <c r="O227" s="210"/>
      <c r="P227" s="210"/>
      <c r="Q227" s="210"/>
      <c r="R227" s="202"/>
    </row>
    <row r="228" spans="1:23" s="175" customFormat="1" x14ac:dyDescent="0.2">
      <c r="A228" s="131" t="s">
        <v>25</v>
      </c>
      <c r="B228" s="91"/>
      <c r="C228" s="91"/>
      <c r="D228" s="91"/>
      <c r="E228" s="410" t="s">
        <v>67</v>
      </c>
      <c r="F228" s="410"/>
      <c r="G228" s="410"/>
      <c r="H228" s="410"/>
      <c r="I228" s="410"/>
      <c r="J228" s="410"/>
      <c r="K228" s="410"/>
      <c r="L228" s="410"/>
      <c r="M228" s="410"/>
      <c r="N228" s="410"/>
      <c r="O228" s="410"/>
      <c r="P228" s="410"/>
      <c r="Q228" s="410"/>
      <c r="R228" s="202"/>
    </row>
    <row r="229" spans="1:23" s="175" customFormat="1" ht="25.5" x14ac:dyDescent="0.2">
      <c r="A229" s="131" t="s">
        <v>25</v>
      </c>
      <c r="B229" s="137" t="s">
        <v>0</v>
      </c>
      <c r="C229" s="133"/>
      <c r="D229" s="133" t="s">
        <v>31</v>
      </c>
      <c r="E229" s="411" t="s">
        <v>143</v>
      </c>
      <c r="F229" s="411"/>
      <c r="G229" s="411"/>
      <c r="H229" s="411"/>
      <c r="I229" s="411"/>
      <c r="J229" s="133" t="s">
        <v>168</v>
      </c>
      <c r="K229" s="92" t="s">
        <v>50</v>
      </c>
      <c r="L229" s="92" t="s">
        <v>87</v>
      </c>
      <c r="M229" s="92" t="s">
        <v>11</v>
      </c>
      <c r="N229" s="130">
        <v>3.79</v>
      </c>
      <c r="O229" s="130">
        <v>3.83</v>
      </c>
      <c r="P229" s="130">
        <v>3.79</v>
      </c>
      <c r="Q229" s="130" t="s">
        <v>242</v>
      </c>
      <c r="R229" s="202"/>
      <c r="S229" s="136"/>
      <c r="T229" s="136"/>
      <c r="U229" s="136"/>
      <c r="V229" s="136"/>
      <c r="W229" s="136"/>
    </row>
    <row r="230" spans="1:23" s="175" customFormat="1" x14ac:dyDescent="0.2">
      <c r="A230" s="393" t="s">
        <v>25</v>
      </c>
      <c r="B230" s="394" t="s">
        <v>0</v>
      </c>
      <c r="C230" s="399" t="s">
        <v>0</v>
      </c>
      <c r="D230" s="399" t="s">
        <v>21</v>
      </c>
      <c r="E230" s="401" t="s">
        <v>68</v>
      </c>
      <c r="F230" s="401"/>
      <c r="G230" s="401"/>
      <c r="H230" s="401"/>
      <c r="I230" s="401"/>
      <c r="J230" s="398" t="s">
        <v>19</v>
      </c>
      <c r="K230" s="69" t="s">
        <v>60</v>
      </c>
      <c r="L230" s="93" t="s">
        <v>69</v>
      </c>
      <c r="M230" s="69" t="s">
        <v>35</v>
      </c>
      <c r="N230" s="203">
        <v>260</v>
      </c>
      <c r="O230" s="203">
        <v>265</v>
      </c>
      <c r="P230" s="203">
        <v>260</v>
      </c>
      <c r="Q230" s="203" t="s">
        <v>19</v>
      </c>
      <c r="R230" s="202"/>
      <c r="S230" s="136"/>
      <c r="T230" s="136"/>
      <c r="U230" s="136"/>
      <c r="V230" s="136"/>
      <c r="W230" s="136"/>
    </row>
    <row r="231" spans="1:23" s="175" customFormat="1" x14ac:dyDescent="0.2">
      <c r="A231" s="393"/>
      <c r="B231" s="394"/>
      <c r="C231" s="399"/>
      <c r="D231" s="399"/>
      <c r="E231" s="401"/>
      <c r="F231" s="401"/>
      <c r="G231" s="401"/>
      <c r="H231" s="401"/>
      <c r="I231" s="401"/>
      <c r="J231" s="398"/>
      <c r="K231" s="69" t="s">
        <v>144</v>
      </c>
      <c r="L231" s="93" t="s">
        <v>70</v>
      </c>
      <c r="M231" s="69" t="s">
        <v>12</v>
      </c>
      <c r="N231" s="203">
        <v>250</v>
      </c>
      <c r="O231" s="203">
        <v>255</v>
      </c>
      <c r="P231" s="203">
        <v>250</v>
      </c>
      <c r="Q231" s="203" t="s">
        <v>19</v>
      </c>
      <c r="R231" s="202"/>
      <c r="S231" s="136"/>
      <c r="T231" s="136"/>
      <c r="U231" s="136"/>
      <c r="V231" s="136"/>
      <c r="W231" s="136"/>
    </row>
    <row r="232" spans="1:23" s="175" customFormat="1" x14ac:dyDescent="0.2">
      <c r="A232" s="393"/>
      <c r="B232" s="394"/>
      <c r="C232" s="399"/>
      <c r="D232" s="399"/>
      <c r="E232" s="93" t="s">
        <v>14</v>
      </c>
      <c r="F232" s="94">
        <v>15</v>
      </c>
      <c r="G232" s="343">
        <v>18</v>
      </c>
      <c r="H232" s="94">
        <f>ROUND(G232*Lapas1!$A$1,1)</f>
        <v>19.600000000000001</v>
      </c>
      <c r="I232" s="94">
        <f>ROUND(H232*Lapas1!$A$2,1)</f>
        <v>22.1</v>
      </c>
      <c r="J232" s="95"/>
      <c r="K232" s="118"/>
      <c r="L232" s="119"/>
      <c r="M232" s="119"/>
      <c r="N232" s="97"/>
      <c r="O232" s="212"/>
      <c r="P232" s="212"/>
      <c r="Q232" s="212"/>
      <c r="R232" s="202"/>
    </row>
    <row r="233" spans="1:23" s="175" customFormat="1" x14ac:dyDescent="0.2">
      <c r="A233" s="393"/>
      <c r="B233" s="394"/>
      <c r="C233" s="399"/>
      <c r="D233" s="399"/>
      <c r="E233" s="104" t="s">
        <v>22</v>
      </c>
      <c r="F233" s="99">
        <f t="shared" ref="F233" si="60">SUM(F232:F232)</f>
        <v>15</v>
      </c>
      <c r="G233" s="159">
        <f t="shared" ref="G233:I233" si="61">SUM(G232:G232)</f>
        <v>18</v>
      </c>
      <c r="H233" s="99">
        <f t="shared" si="61"/>
        <v>19.600000000000001</v>
      </c>
      <c r="I233" s="99">
        <f t="shared" si="61"/>
        <v>22.1</v>
      </c>
      <c r="J233" s="95"/>
      <c r="K233" s="118"/>
      <c r="L233" s="119"/>
      <c r="M233" s="119"/>
      <c r="N233" s="97"/>
      <c r="O233" s="212"/>
      <c r="P233" s="212"/>
      <c r="Q233" s="212"/>
      <c r="R233" s="101">
        <f>(G233-F233)/F233</f>
        <v>0.2</v>
      </c>
    </row>
    <row r="234" spans="1:23" s="175" customFormat="1" x14ac:dyDescent="0.2">
      <c r="A234" s="131" t="s">
        <v>25</v>
      </c>
      <c r="B234" s="137" t="s">
        <v>0</v>
      </c>
      <c r="C234" s="105"/>
      <c r="D234" s="105" t="s">
        <v>31</v>
      </c>
      <c r="E234" s="106" t="s">
        <v>238</v>
      </c>
      <c r="F234" s="107">
        <f>F233</f>
        <v>15</v>
      </c>
      <c r="G234" s="168">
        <f t="shared" ref="G234:I235" si="62">G233</f>
        <v>18</v>
      </c>
      <c r="H234" s="107">
        <f t="shared" si="62"/>
        <v>19.600000000000001</v>
      </c>
      <c r="I234" s="107">
        <f t="shared" si="62"/>
        <v>22.1</v>
      </c>
      <c r="J234" s="108"/>
      <c r="K234" s="213"/>
      <c r="L234" s="213"/>
      <c r="M234" s="213"/>
      <c r="N234" s="207"/>
      <c r="O234" s="207"/>
      <c r="P234" s="207"/>
      <c r="Q234" s="207"/>
      <c r="R234" s="202"/>
    </row>
    <row r="235" spans="1:23" s="175" customFormat="1" x14ac:dyDescent="0.2">
      <c r="A235" s="209" t="s">
        <v>25</v>
      </c>
      <c r="B235" s="109"/>
      <c r="C235" s="109"/>
      <c r="D235" s="109"/>
      <c r="E235" s="110" t="s">
        <v>239</v>
      </c>
      <c r="F235" s="111">
        <f>F234</f>
        <v>15</v>
      </c>
      <c r="G235" s="169">
        <f t="shared" si="62"/>
        <v>18</v>
      </c>
      <c r="H235" s="111">
        <f t="shared" si="62"/>
        <v>19.600000000000001</v>
      </c>
      <c r="I235" s="111">
        <f t="shared" si="62"/>
        <v>22.1</v>
      </c>
      <c r="J235" s="112"/>
      <c r="K235" s="214"/>
      <c r="L235" s="214"/>
      <c r="M235" s="214"/>
      <c r="N235" s="210"/>
      <c r="O235" s="210"/>
      <c r="P235" s="210"/>
      <c r="Q235" s="210"/>
      <c r="R235" s="202"/>
    </row>
    <row r="236" spans="1:23" s="175" customFormat="1" x14ac:dyDescent="0.2">
      <c r="A236" s="131" t="s">
        <v>26</v>
      </c>
      <c r="B236" s="91"/>
      <c r="C236" s="91"/>
      <c r="D236" s="91"/>
      <c r="E236" s="410" t="s">
        <v>893</v>
      </c>
      <c r="F236" s="410"/>
      <c r="G236" s="410"/>
      <c r="H236" s="410"/>
      <c r="I236" s="410"/>
      <c r="J236" s="410"/>
      <c r="K236" s="410"/>
      <c r="L236" s="410"/>
      <c r="M236" s="410"/>
      <c r="N236" s="410"/>
      <c r="O236" s="410"/>
      <c r="P236" s="410"/>
      <c r="Q236" s="410"/>
      <c r="R236" s="202"/>
    </row>
    <row r="237" spans="1:23" s="175" customFormat="1" x14ac:dyDescent="0.2">
      <c r="A237" s="131" t="s">
        <v>26</v>
      </c>
      <c r="B237" s="137" t="s">
        <v>0</v>
      </c>
      <c r="C237" s="133"/>
      <c r="D237" s="133" t="s">
        <v>31</v>
      </c>
      <c r="E237" s="411" t="s">
        <v>995</v>
      </c>
      <c r="F237" s="411"/>
      <c r="G237" s="411"/>
      <c r="H237" s="411"/>
      <c r="I237" s="411"/>
      <c r="J237" s="133" t="s">
        <v>213</v>
      </c>
      <c r="K237" s="92" t="s">
        <v>61</v>
      </c>
      <c r="L237" s="134" t="s">
        <v>72</v>
      </c>
      <c r="M237" s="92" t="s">
        <v>12</v>
      </c>
      <c r="N237" s="130">
        <v>60</v>
      </c>
      <c r="O237" s="130">
        <v>65</v>
      </c>
      <c r="P237" s="130">
        <v>70</v>
      </c>
      <c r="Q237" s="130" t="s">
        <v>243</v>
      </c>
      <c r="R237" s="202"/>
    </row>
    <row r="238" spans="1:23" s="175" customFormat="1" ht="13.5" x14ac:dyDescent="0.2">
      <c r="A238" s="393" t="s">
        <v>26</v>
      </c>
      <c r="B238" s="394" t="s">
        <v>0</v>
      </c>
      <c r="C238" s="399" t="s">
        <v>0</v>
      </c>
      <c r="D238" s="399" t="s">
        <v>21</v>
      </c>
      <c r="E238" s="401" t="s">
        <v>71</v>
      </c>
      <c r="F238" s="401"/>
      <c r="G238" s="401"/>
      <c r="H238" s="401"/>
      <c r="I238" s="401"/>
      <c r="J238" s="138" t="s">
        <v>19</v>
      </c>
      <c r="K238" s="69" t="s">
        <v>145</v>
      </c>
      <c r="L238" s="69" t="s">
        <v>86</v>
      </c>
      <c r="M238" s="69" t="s">
        <v>11</v>
      </c>
      <c r="N238" s="203">
        <v>100</v>
      </c>
      <c r="O238" s="203">
        <v>100</v>
      </c>
      <c r="P238" s="203">
        <v>100</v>
      </c>
      <c r="Q238" s="203" t="s">
        <v>19</v>
      </c>
      <c r="R238" s="202"/>
      <c r="S238" s="135"/>
      <c r="T238" s="135"/>
      <c r="U238" s="135"/>
      <c r="V238" s="135"/>
      <c r="W238" s="135"/>
    </row>
    <row r="239" spans="1:23" s="175" customFormat="1" x14ac:dyDescent="0.2">
      <c r="A239" s="393"/>
      <c r="B239" s="394"/>
      <c r="C239" s="399"/>
      <c r="D239" s="399"/>
      <c r="E239" s="93" t="s">
        <v>14</v>
      </c>
      <c r="F239" s="94">
        <v>100</v>
      </c>
      <c r="G239" s="343">
        <v>105</v>
      </c>
      <c r="H239" s="94">
        <f>ROUND(G239*Lapas1!$A$1,1)</f>
        <v>114.5</v>
      </c>
      <c r="I239" s="94">
        <f>ROUND(H239*Lapas1!$A$2,1)</f>
        <v>129.4</v>
      </c>
      <c r="J239" s="95"/>
      <c r="K239" s="118"/>
      <c r="L239" s="119"/>
      <c r="M239" s="119"/>
      <c r="N239" s="97"/>
      <c r="O239" s="212"/>
      <c r="P239" s="212"/>
      <c r="Q239" s="212"/>
      <c r="R239" s="202"/>
    </row>
    <row r="240" spans="1:23" s="175" customFormat="1" x14ac:dyDescent="0.2">
      <c r="A240" s="393"/>
      <c r="B240" s="394"/>
      <c r="C240" s="399"/>
      <c r="D240" s="399"/>
      <c r="E240" s="104" t="s">
        <v>22</v>
      </c>
      <c r="F240" s="99">
        <f t="shared" ref="F240:I240" si="63">SUM(F239:F239)</f>
        <v>100</v>
      </c>
      <c r="G240" s="159">
        <f t="shared" si="63"/>
        <v>105</v>
      </c>
      <c r="H240" s="99">
        <f t="shared" si="63"/>
        <v>114.5</v>
      </c>
      <c r="I240" s="99">
        <f t="shared" si="63"/>
        <v>129.4</v>
      </c>
      <c r="J240" s="95"/>
      <c r="K240" s="118"/>
      <c r="L240" s="119"/>
      <c r="M240" s="119"/>
      <c r="N240" s="97"/>
      <c r="O240" s="212"/>
      <c r="P240" s="212"/>
      <c r="Q240" s="212"/>
      <c r="R240" s="101">
        <f>(G240-F240)/F240</f>
        <v>0.05</v>
      </c>
    </row>
    <row r="241" spans="1:23" s="175" customFormat="1" x14ac:dyDescent="0.2">
      <c r="A241" s="393" t="s">
        <v>26</v>
      </c>
      <c r="B241" s="394" t="s">
        <v>0</v>
      </c>
      <c r="C241" s="395" t="s">
        <v>10</v>
      </c>
      <c r="D241" s="395" t="s">
        <v>21</v>
      </c>
      <c r="E241" s="401" t="s">
        <v>229</v>
      </c>
      <c r="F241" s="401"/>
      <c r="G241" s="401"/>
      <c r="H241" s="401"/>
      <c r="I241" s="401"/>
      <c r="J241" s="398" t="s">
        <v>19</v>
      </c>
      <c r="K241" s="69" t="s">
        <v>146</v>
      </c>
      <c r="L241" s="67" t="s">
        <v>73</v>
      </c>
      <c r="M241" s="69" t="s">
        <v>12</v>
      </c>
      <c r="N241" s="203">
        <v>2400</v>
      </c>
      <c r="O241" s="203">
        <v>2450</v>
      </c>
      <c r="P241" s="203">
        <v>2500</v>
      </c>
      <c r="Q241" s="203" t="s">
        <v>19</v>
      </c>
      <c r="R241" s="202"/>
      <c r="S241" s="397"/>
      <c r="T241" s="397"/>
      <c r="U241" s="397"/>
      <c r="V241" s="397"/>
      <c r="W241" s="397"/>
    </row>
    <row r="242" spans="1:23" s="175" customFormat="1" x14ac:dyDescent="0.2">
      <c r="A242" s="393"/>
      <c r="B242" s="394"/>
      <c r="C242" s="395"/>
      <c r="D242" s="395"/>
      <c r="E242" s="401"/>
      <c r="F242" s="401"/>
      <c r="G242" s="401"/>
      <c r="H242" s="401"/>
      <c r="I242" s="401"/>
      <c r="J242" s="398"/>
      <c r="K242" s="69" t="s">
        <v>147</v>
      </c>
      <c r="L242" s="67" t="s">
        <v>74</v>
      </c>
      <c r="M242" s="69" t="s">
        <v>35</v>
      </c>
      <c r="N242" s="203">
        <v>430</v>
      </c>
      <c r="O242" s="203">
        <v>450</v>
      </c>
      <c r="P242" s="203">
        <v>470</v>
      </c>
      <c r="Q242" s="203" t="s">
        <v>19</v>
      </c>
      <c r="R242" s="202"/>
      <c r="S242" s="397"/>
      <c r="T242" s="397"/>
      <c r="U242" s="397"/>
      <c r="V242" s="397"/>
      <c r="W242" s="397"/>
    </row>
    <row r="243" spans="1:23" s="175" customFormat="1" x14ac:dyDescent="0.2">
      <c r="A243" s="393"/>
      <c r="B243" s="394"/>
      <c r="C243" s="395"/>
      <c r="D243" s="395"/>
      <c r="E243" s="93" t="s">
        <v>14</v>
      </c>
      <c r="F243" s="94">
        <v>421.1</v>
      </c>
      <c r="G243" s="343">
        <v>502.9</v>
      </c>
      <c r="H243" s="94">
        <f>ROUND(G243*Lapas1!$A$1,1)</f>
        <v>548.20000000000005</v>
      </c>
      <c r="I243" s="94">
        <f>ROUND(H243*Lapas1!$A$2,1)</f>
        <v>619.5</v>
      </c>
      <c r="J243" s="95"/>
      <c r="K243" s="118"/>
      <c r="L243" s="119"/>
      <c r="M243" s="119"/>
      <c r="N243" s="97"/>
      <c r="O243" s="212"/>
      <c r="P243" s="212"/>
      <c r="Q243" s="212"/>
      <c r="R243" s="202"/>
    </row>
    <row r="244" spans="1:23" s="175" customFormat="1" x14ac:dyDescent="0.2">
      <c r="A244" s="393"/>
      <c r="B244" s="394"/>
      <c r="C244" s="395"/>
      <c r="D244" s="395"/>
      <c r="E244" s="104" t="s">
        <v>22</v>
      </c>
      <c r="F244" s="100">
        <f t="shared" ref="F244:I244" si="64">SUM(F243:F243)</f>
        <v>421.1</v>
      </c>
      <c r="G244" s="159">
        <f t="shared" si="64"/>
        <v>502.9</v>
      </c>
      <c r="H244" s="99">
        <f t="shared" si="64"/>
        <v>548.20000000000005</v>
      </c>
      <c r="I244" s="99">
        <f t="shared" si="64"/>
        <v>619.5</v>
      </c>
      <c r="J244" s="95"/>
      <c r="K244" s="118"/>
      <c r="L244" s="119"/>
      <c r="M244" s="119"/>
      <c r="N244" s="97"/>
      <c r="O244" s="212"/>
      <c r="P244" s="212"/>
      <c r="Q244" s="212"/>
      <c r="R244" s="101">
        <f>(G244-F244)/F244</f>
        <v>0.19425314652101627</v>
      </c>
    </row>
    <row r="245" spans="1:23" s="175" customFormat="1" ht="13.5" x14ac:dyDescent="0.2">
      <c r="A245" s="393" t="s">
        <v>26</v>
      </c>
      <c r="B245" s="394" t="s">
        <v>0</v>
      </c>
      <c r="C245" s="395" t="s">
        <v>24</v>
      </c>
      <c r="D245" s="395" t="s">
        <v>21</v>
      </c>
      <c r="E245" s="406" t="s">
        <v>811</v>
      </c>
      <c r="F245" s="406"/>
      <c r="G245" s="406"/>
      <c r="H245" s="406"/>
      <c r="I245" s="406"/>
      <c r="J245" s="138" t="s">
        <v>19</v>
      </c>
      <c r="K245" s="69" t="s">
        <v>148</v>
      </c>
      <c r="L245" s="67" t="s">
        <v>76</v>
      </c>
      <c r="M245" s="69" t="s">
        <v>12</v>
      </c>
      <c r="N245" s="203">
        <v>40</v>
      </c>
      <c r="O245" s="203">
        <v>49</v>
      </c>
      <c r="P245" s="203">
        <v>50</v>
      </c>
      <c r="Q245" s="203" t="s">
        <v>19</v>
      </c>
      <c r="R245" s="202"/>
      <c r="S245" s="397"/>
      <c r="T245" s="397"/>
      <c r="U245" s="397"/>
      <c r="V245" s="397"/>
      <c r="W245" s="397"/>
    </row>
    <row r="246" spans="1:23" s="175" customFormat="1" x14ac:dyDescent="0.2">
      <c r="A246" s="393"/>
      <c r="B246" s="394"/>
      <c r="C246" s="395"/>
      <c r="D246" s="395"/>
      <c r="E246" s="93" t="s">
        <v>14</v>
      </c>
      <c r="F246" s="94">
        <v>100</v>
      </c>
      <c r="G246" s="343">
        <v>110</v>
      </c>
      <c r="H246" s="94">
        <f>ROUND(G246*Lapas1!$A$1,1)</f>
        <v>119.9</v>
      </c>
      <c r="I246" s="94">
        <f>ROUND(H246*Lapas1!$A$2,1)</f>
        <v>135.5</v>
      </c>
      <c r="J246" s="95"/>
      <c r="K246" s="118"/>
      <c r="L246" s="119"/>
      <c r="M246" s="119"/>
      <c r="N246" s="97"/>
      <c r="O246" s="212"/>
      <c r="P246" s="212"/>
      <c r="Q246" s="212"/>
      <c r="R246" s="202"/>
    </row>
    <row r="247" spans="1:23" s="175" customFormat="1" x14ac:dyDescent="0.2">
      <c r="A247" s="393"/>
      <c r="B247" s="394"/>
      <c r="C247" s="395"/>
      <c r="D247" s="395"/>
      <c r="E247" s="104" t="s">
        <v>22</v>
      </c>
      <c r="F247" s="99">
        <f t="shared" ref="F247:I247" si="65">SUM(F246:F246)</f>
        <v>100</v>
      </c>
      <c r="G247" s="159">
        <f t="shared" si="65"/>
        <v>110</v>
      </c>
      <c r="H247" s="99">
        <f t="shared" si="65"/>
        <v>119.9</v>
      </c>
      <c r="I247" s="99">
        <f t="shared" si="65"/>
        <v>135.5</v>
      </c>
      <c r="J247" s="95"/>
      <c r="K247" s="118"/>
      <c r="L247" s="119"/>
      <c r="M247" s="119"/>
      <c r="N247" s="97"/>
      <c r="O247" s="212"/>
      <c r="P247" s="212"/>
      <c r="Q247" s="212"/>
      <c r="R247" s="101">
        <f>(G247-F247)/F247</f>
        <v>0.1</v>
      </c>
    </row>
    <row r="248" spans="1:23" s="175" customFormat="1" ht="13.5" x14ac:dyDescent="0.2">
      <c r="A248" s="393" t="s">
        <v>26</v>
      </c>
      <c r="B248" s="394" t="s">
        <v>0</v>
      </c>
      <c r="C248" s="395" t="s">
        <v>25</v>
      </c>
      <c r="D248" s="395" t="s">
        <v>21</v>
      </c>
      <c r="E248" s="401" t="s">
        <v>77</v>
      </c>
      <c r="F248" s="401"/>
      <c r="G248" s="401"/>
      <c r="H248" s="401"/>
      <c r="I248" s="401"/>
      <c r="J248" s="138" t="s">
        <v>19</v>
      </c>
      <c r="K248" s="69" t="s">
        <v>149</v>
      </c>
      <c r="L248" s="67" t="s">
        <v>76</v>
      </c>
      <c r="M248" s="69" t="s">
        <v>12</v>
      </c>
      <c r="N248" s="203">
        <v>32</v>
      </c>
      <c r="O248" s="203">
        <v>32</v>
      </c>
      <c r="P248" s="203">
        <v>32</v>
      </c>
      <c r="Q248" s="203" t="s">
        <v>19</v>
      </c>
      <c r="R248" s="215"/>
      <c r="S248" s="397"/>
      <c r="T248" s="397"/>
      <c r="U248" s="397"/>
      <c r="V248" s="397"/>
      <c r="W248" s="397"/>
    </row>
    <row r="249" spans="1:23" s="175" customFormat="1" x14ac:dyDescent="0.2">
      <c r="A249" s="393"/>
      <c r="B249" s="394"/>
      <c r="C249" s="395"/>
      <c r="D249" s="395"/>
      <c r="E249" s="93" t="s">
        <v>14</v>
      </c>
      <c r="F249" s="94">
        <v>100</v>
      </c>
      <c r="G249" s="343">
        <v>125</v>
      </c>
      <c r="H249" s="94">
        <f>ROUND(G249*Lapas1!$A$1,1)</f>
        <v>136.30000000000001</v>
      </c>
      <c r="I249" s="94">
        <f>ROUND(H249*Lapas1!$A$2,1)</f>
        <v>154</v>
      </c>
      <c r="J249" s="95"/>
      <c r="K249" s="95"/>
      <c r="L249" s="96"/>
      <c r="M249" s="96"/>
      <c r="N249" s="97"/>
      <c r="O249" s="212"/>
      <c r="P249" s="212"/>
      <c r="Q249" s="212"/>
      <c r="R249" s="202"/>
    </row>
    <row r="250" spans="1:23" s="175" customFormat="1" x14ac:dyDescent="0.2">
      <c r="A250" s="393"/>
      <c r="B250" s="394"/>
      <c r="C250" s="395"/>
      <c r="D250" s="395"/>
      <c r="E250" s="104" t="s">
        <v>22</v>
      </c>
      <c r="F250" s="99">
        <f t="shared" ref="F250" si="66">SUM(F249:F249)</f>
        <v>100</v>
      </c>
      <c r="G250" s="159">
        <f t="shared" ref="G250:I250" si="67">SUM(G249:G249)</f>
        <v>125</v>
      </c>
      <c r="H250" s="99">
        <f t="shared" si="67"/>
        <v>136.30000000000001</v>
      </c>
      <c r="I250" s="99">
        <f t="shared" si="67"/>
        <v>154</v>
      </c>
      <c r="J250" s="95"/>
      <c r="K250" s="95"/>
      <c r="L250" s="96"/>
      <c r="M250" s="96"/>
      <c r="N250" s="97"/>
      <c r="O250" s="205"/>
      <c r="P250" s="205"/>
      <c r="Q250" s="205"/>
      <c r="R250" s="101">
        <f>(G250-F250)/F250</f>
        <v>0.25</v>
      </c>
    </row>
    <row r="251" spans="1:23" s="175" customFormat="1" ht="13.5" x14ac:dyDescent="0.2">
      <c r="A251" s="393" t="s">
        <v>26</v>
      </c>
      <c r="B251" s="394" t="s">
        <v>0</v>
      </c>
      <c r="C251" s="395" t="s">
        <v>26</v>
      </c>
      <c r="D251" s="395" t="s">
        <v>21</v>
      </c>
      <c r="E251" s="396" t="s">
        <v>1035</v>
      </c>
      <c r="F251" s="396"/>
      <c r="G251" s="396"/>
      <c r="H251" s="396"/>
      <c r="I251" s="396"/>
      <c r="J251" s="138" t="s">
        <v>19</v>
      </c>
      <c r="K251" s="377" t="s">
        <v>996</v>
      </c>
      <c r="L251" s="378" t="s">
        <v>1036</v>
      </c>
      <c r="M251" s="377" t="s">
        <v>35</v>
      </c>
      <c r="N251" s="379">
        <v>50</v>
      </c>
      <c r="O251" s="379">
        <v>50</v>
      </c>
      <c r="P251" s="379">
        <v>50</v>
      </c>
      <c r="Q251" s="379" t="s">
        <v>19</v>
      </c>
      <c r="R251" s="215"/>
      <c r="S251" s="397"/>
      <c r="T251" s="397"/>
      <c r="U251" s="397"/>
      <c r="V251" s="397"/>
      <c r="W251" s="397"/>
    </row>
    <row r="252" spans="1:23" s="175" customFormat="1" x14ac:dyDescent="0.2">
      <c r="A252" s="393"/>
      <c r="B252" s="394"/>
      <c r="C252" s="395"/>
      <c r="D252" s="395"/>
      <c r="E252" s="93" t="s">
        <v>14</v>
      </c>
      <c r="F252" s="94">
        <v>0</v>
      </c>
      <c r="G252" s="343">
        <v>25</v>
      </c>
      <c r="H252" s="94">
        <f>ROUND(G252*Lapas1!$A$1,1)</f>
        <v>27.3</v>
      </c>
      <c r="I252" s="94">
        <f>ROUND(H252*Lapas1!$A$2,1)</f>
        <v>30.8</v>
      </c>
      <c r="J252" s="95"/>
      <c r="K252" s="95"/>
      <c r="L252" s="96"/>
      <c r="M252" s="96"/>
      <c r="N252" s="97"/>
      <c r="O252" s="212"/>
      <c r="P252" s="212"/>
      <c r="Q252" s="212"/>
      <c r="R252" s="202"/>
    </row>
    <row r="253" spans="1:23" s="175" customFormat="1" x14ac:dyDescent="0.2">
      <c r="A253" s="393"/>
      <c r="B253" s="394"/>
      <c r="C253" s="395"/>
      <c r="D253" s="395"/>
      <c r="E253" s="104" t="s">
        <v>22</v>
      </c>
      <c r="F253" s="99">
        <f t="shared" ref="F253" si="68">SUM(F252:F252)</f>
        <v>0</v>
      </c>
      <c r="G253" s="159">
        <f t="shared" ref="G253:I253" si="69">SUM(G252:G252)</f>
        <v>25</v>
      </c>
      <c r="H253" s="99">
        <f t="shared" si="69"/>
        <v>27.3</v>
      </c>
      <c r="I253" s="99">
        <f t="shared" si="69"/>
        <v>30.8</v>
      </c>
      <c r="J253" s="95"/>
      <c r="K253" s="95"/>
      <c r="L253" s="96"/>
      <c r="M253" s="96"/>
      <c r="N253" s="97"/>
      <c r="O253" s="205"/>
      <c r="P253" s="205"/>
      <c r="Q253" s="205"/>
      <c r="R253" s="101" t="e">
        <f>(G253-F253)/F253</f>
        <v>#DIV/0!</v>
      </c>
    </row>
    <row r="254" spans="1:23" s="175" customFormat="1" x14ac:dyDescent="0.2">
      <c r="A254" s="131" t="s">
        <v>26</v>
      </c>
      <c r="B254" s="137" t="s">
        <v>0</v>
      </c>
      <c r="C254" s="105"/>
      <c r="D254" s="105" t="s">
        <v>31</v>
      </c>
      <c r="E254" s="106" t="s">
        <v>238</v>
      </c>
      <c r="F254" s="107">
        <f>F240+F244+F247+F250+F253</f>
        <v>721.1</v>
      </c>
      <c r="G254" s="107">
        <f t="shared" ref="G254:I254" si="70">G240+G244+G247+G250+G253</f>
        <v>867.9</v>
      </c>
      <c r="H254" s="107">
        <f t="shared" si="70"/>
        <v>946.2</v>
      </c>
      <c r="I254" s="107">
        <f t="shared" si="70"/>
        <v>1069.2</v>
      </c>
      <c r="J254" s="108"/>
      <c r="K254" s="207"/>
      <c r="L254" s="207"/>
      <c r="M254" s="207"/>
      <c r="N254" s="207"/>
      <c r="O254" s="207"/>
      <c r="P254" s="207"/>
      <c r="Q254" s="207"/>
      <c r="R254" s="202"/>
    </row>
    <row r="255" spans="1:23" s="175" customFormat="1" x14ac:dyDescent="0.2">
      <c r="A255" s="209" t="s">
        <v>26</v>
      </c>
      <c r="B255" s="109"/>
      <c r="C255" s="109"/>
      <c r="D255" s="109"/>
      <c r="E255" s="110" t="s">
        <v>239</v>
      </c>
      <c r="F255" s="111">
        <f>F254</f>
        <v>721.1</v>
      </c>
      <c r="G255" s="169">
        <f t="shared" ref="G255:I255" si="71">G254</f>
        <v>867.9</v>
      </c>
      <c r="H255" s="111">
        <f t="shared" si="71"/>
        <v>946.2</v>
      </c>
      <c r="I255" s="111">
        <f t="shared" si="71"/>
        <v>1069.2</v>
      </c>
      <c r="J255" s="112"/>
      <c r="K255" s="210"/>
      <c r="L255" s="210"/>
      <c r="M255" s="210"/>
      <c r="N255" s="210"/>
      <c r="O255" s="210"/>
      <c r="P255" s="210"/>
      <c r="Q255" s="210"/>
      <c r="R255" s="202"/>
    </row>
    <row r="256" spans="1:23" s="175" customFormat="1" x14ac:dyDescent="0.2">
      <c r="A256" s="120"/>
      <c r="B256" s="120"/>
      <c r="C256" s="120"/>
      <c r="D256" s="120"/>
      <c r="E256" s="121" t="s">
        <v>240</v>
      </c>
      <c r="F256" s="122">
        <f>F180+F211+F227+F235+F255</f>
        <v>35255.530999999995</v>
      </c>
      <c r="G256" s="170">
        <f>G180+G211+G227+G235+G255</f>
        <v>40685.074000000001</v>
      </c>
      <c r="H256" s="122">
        <f>H180+H211+H227+H235+H255</f>
        <v>44346.899999999994</v>
      </c>
      <c r="I256" s="122">
        <f>I180+I211+I227+I235+I255</f>
        <v>50112.100000000006</v>
      </c>
      <c r="J256" s="123"/>
      <c r="K256" s="166"/>
      <c r="L256" s="166"/>
      <c r="M256" s="166"/>
      <c r="N256" s="166"/>
      <c r="O256" s="166"/>
      <c r="P256" s="166"/>
      <c r="Q256" s="166"/>
      <c r="R256" s="202"/>
    </row>
    <row r="257" spans="1:11" ht="44.25" customHeight="1" x14ac:dyDescent="0.2">
      <c r="A257" s="405" t="s">
        <v>790</v>
      </c>
      <c r="B257" s="405"/>
      <c r="C257" s="405"/>
      <c r="D257" s="405"/>
      <c r="E257" s="405"/>
      <c r="F257" s="405"/>
      <c r="G257" s="405"/>
      <c r="H257" s="405"/>
      <c r="I257" s="405"/>
      <c r="J257" s="405"/>
      <c r="K257" s="405"/>
    </row>
    <row r="258" spans="1:11" ht="26.25" customHeight="1" x14ac:dyDescent="0.2">
      <c r="A258" s="416" t="s">
        <v>836</v>
      </c>
      <c r="B258" s="416"/>
      <c r="C258" s="416"/>
      <c r="D258" s="416"/>
      <c r="E258" s="416"/>
      <c r="F258" s="416"/>
      <c r="G258" s="416"/>
      <c r="H258" s="416"/>
      <c r="I258" s="416"/>
      <c r="J258" s="416"/>
      <c r="K258" s="416"/>
    </row>
    <row r="259" spans="1:11" x14ac:dyDescent="0.2">
      <c r="A259" s="1"/>
      <c r="B259" s="1"/>
    </row>
    <row r="260" spans="1:11" x14ac:dyDescent="0.2">
      <c r="A260" s="403" t="s">
        <v>4</v>
      </c>
      <c r="B260" s="403"/>
      <c r="C260" s="403"/>
      <c r="D260" s="403"/>
      <c r="E260" s="403"/>
      <c r="F260" s="403"/>
      <c r="G260" s="403"/>
      <c r="H260" s="403"/>
      <c r="I260" s="403"/>
    </row>
    <row r="261" spans="1:11" ht="27.75" customHeight="1" x14ac:dyDescent="0.2">
      <c r="A261" s="402" t="s">
        <v>13</v>
      </c>
      <c r="B261" s="402"/>
      <c r="C261" s="402"/>
      <c r="D261" s="402"/>
      <c r="E261" s="7" t="s">
        <v>14</v>
      </c>
      <c r="F261" s="99">
        <f>F29+F34+F44+F53+F63+F73+F83+F93+F103+F113+F122+F130+F138+F146+F154+F162+F170+F192+F196+F205+F219+F224+F232+F239+F243+F246+F249+F252+F208</f>
        <v>12898.899999999998</v>
      </c>
      <c r="G261" s="99">
        <f t="shared" ref="G261:I261" si="72">G29+G34+G44+G53+G63+G73+G83+G93+G103+G113+G122+G130+G138+G146+G154+G162+G170+G192+G196+G205+G219+G224+G232+G239+G243+G246+G249+G252+G208</f>
        <v>14626.399999999998</v>
      </c>
      <c r="H261" s="99">
        <f t="shared" si="72"/>
        <v>15943.000000000002</v>
      </c>
      <c r="I261" s="99">
        <f t="shared" si="72"/>
        <v>18015.500000000004</v>
      </c>
    </row>
    <row r="262" spans="1:11" ht="27.75" customHeight="1" x14ac:dyDescent="0.2">
      <c r="A262" s="402" t="s">
        <v>20</v>
      </c>
      <c r="B262" s="402"/>
      <c r="C262" s="402"/>
      <c r="D262" s="402"/>
      <c r="E262" s="7" t="s">
        <v>15</v>
      </c>
      <c r="F262" s="99">
        <f>F30+F35+F45+F54+F64+F74+F84+F94+F104+F114+F123+F131+F139+F147+F155+F163+F171+F186+F197+F201+F177+F220</f>
        <v>20593.230999999996</v>
      </c>
      <c r="G262" s="99">
        <f>G30+G35+G45+G54+G64+G74+G84+G94+G104+G114+G123+G131+G139+G147+G155+G163+G171+G186+G197+G201+G177+G220</f>
        <v>24035.092000000001</v>
      </c>
      <c r="H262" s="99">
        <f>H30+H35+H45+H54+H64+H74+H84+H94+H104+H114+H123+H131+H139+H147+H155+H163+H171+H186+H197+H201+H177+H220</f>
        <v>26198.299999999996</v>
      </c>
      <c r="I262" s="99">
        <f>I30+I35+I45+I54+I64+I74+I84+I94+I104+I114+I123+I131+I139+I147+I155+I163+I171+I186+I197+I201+I177+I220</f>
        <v>29604.200000000004</v>
      </c>
    </row>
    <row r="263" spans="1:11" ht="27.75" customHeight="1" x14ac:dyDescent="0.2">
      <c r="A263" s="402" t="s">
        <v>16</v>
      </c>
      <c r="B263" s="402"/>
      <c r="C263" s="402"/>
      <c r="D263" s="402"/>
      <c r="E263" s="7" t="s">
        <v>17</v>
      </c>
      <c r="F263" s="99">
        <f>F31+F36+F46+F55+F65+F75+F85+F95+F105+F115+F124+F132+F140+F148+F156+F164+F172</f>
        <v>1763.3999999999999</v>
      </c>
      <c r="G263" s="99">
        <f>G31+G36+G46+G55+G65+G75+G85+G95+G105+G115+G124+G132+G140+G148+G156+G164+G172</f>
        <v>2023.5820000000001</v>
      </c>
      <c r="H263" s="99">
        <f>H31+H36+H46+H55+H65+H75+H85+H95+H105+H115+H124+H132+H140+H148+H156+H164+H172</f>
        <v>2205.6</v>
      </c>
      <c r="I263" s="99">
        <f>I31+I36+I46+I55+I65+I75+I85+I95+I105+I115+I124+I132+I140+I148+I156+I164+I172</f>
        <v>2492.3999999999996</v>
      </c>
    </row>
    <row r="264" spans="1:11" ht="50.25" customHeight="1" x14ac:dyDescent="0.2">
      <c r="A264" s="402" t="s">
        <v>231</v>
      </c>
      <c r="B264" s="402"/>
      <c r="C264" s="402"/>
      <c r="D264" s="402"/>
      <c r="E264" s="7" t="s">
        <v>232</v>
      </c>
      <c r="F264" s="99"/>
      <c r="G264" s="159"/>
      <c r="H264" s="99"/>
      <c r="I264" s="99"/>
    </row>
    <row r="265" spans="1:11" ht="27.75" customHeight="1" x14ac:dyDescent="0.2">
      <c r="A265" s="402" t="s">
        <v>230</v>
      </c>
      <c r="B265" s="402"/>
      <c r="C265" s="402"/>
      <c r="D265" s="402"/>
      <c r="E265" s="7" t="s">
        <v>18</v>
      </c>
      <c r="F265" s="99"/>
      <c r="G265" s="159"/>
      <c r="H265" s="99"/>
      <c r="I265" s="99"/>
    </row>
    <row r="266" spans="1:11" ht="27.75" customHeight="1" x14ac:dyDescent="0.2">
      <c r="A266" s="402" t="s">
        <v>169</v>
      </c>
      <c r="B266" s="402"/>
      <c r="C266" s="402"/>
      <c r="D266" s="402"/>
      <c r="E266" s="7" t="s">
        <v>162</v>
      </c>
      <c r="F266" s="99"/>
      <c r="G266" s="159"/>
      <c r="H266" s="99"/>
      <c r="I266" s="99"/>
    </row>
    <row r="267" spans="1:11" x14ac:dyDescent="0.2">
      <c r="A267" s="414" t="s">
        <v>3</v>
      </c>
      <c r="B267" s="414"/>
      <c r="C267" s="414"/>
      <c r="D267" s="414"/>
      <c r="E267" s="414"/>
      <c r="F267" s="125">
        <f>SUM(F261:F266)</f>
        <v>35255.530999999995</v>
      </c>
      <c r="G267" s="174">
        <f>SUM(G261:G266)</f>
        <v>40685.074000000001</v>
      </c>
      <c r="H267" s="125">
        <f>SUM(H261:H266)</f>
        <v>44346.899999999994</v>
      </c>
      <c r="I267" s="125">
        <f>SUM(I261:I266)</f>
        <v>50112.100000000013</v>
      </c>
    </row>
    <row r="268" spans="1:11" ht="26.25" customHeight="1" x14ac:dyDescent="0.2">
      <c r="A268" s="413" t="s">
        <v>7</v>
      </c>
      <c r="B268" s="413"/>
      <c r="C268" s="413"/>
      <c r="D268" s="413"/>
      <c r="E268" s="413"/>
      <c r="F268" s="126"/>
      <c r="G268" s="158"/>
      <c r="H268" s="126"/>
      <c r="I268" s="126"/>
    </row>
    <row r="269" spans="1:11" x14ac:dyDescent="0.2">
      <c r="A269" s="413" t="s">
        <v>5</v>
      </c>
      <c r="B269" s="413"/>
      <c r="C269" s="413"/>
      <c r="D269" s="413"/>
      <c r="E269" s="413"/>
      <c r="F269" s="126">
        <f>F178</f>
        <v>4.0999999999999996</v>
      </c>
      <c r="G269" s="126">
        <f t="shared" ref="G269:I269" si="73">G178</f>
        <v>0</v>
      </c>
      <c r="H269" s="126">
        <f t="shared" si="73"/>
        <v>0</v>
      </c>
      <c r="I269" s="126">
        <f t="shared" si="73"/>
        <v>0</v>
      </c>
    </row>
    <row r="270" spans="1:11" x14ac:dyDescent="0.2">
      <c r="A270" s="413" t="s">
        <v>6</v>
      </c>
      <c r="B270" s="413"/>
      <c r="C270" s="413"/>
      <c r="D270" s="413"/>
      <c r="E270" s="413"/>
      <c r="F270" s="126">
        <f>F256-F269</f>
        <v>35251.430999999997</v>
      </c>
      <c r="G270" s="158">
        <f>G256-G269</f>
        <v>40685.074000000001</v>
      </c>
      <c r="H270" s="126">
        <f>H256-H269</f>
        <v>44346.899999999994</v>
      </c>
      <c r="I270" s="126">
        <f>I256-I269</f>
        <v>50112.100000000006</v>
      </c>
    </row>
    <row r="271" spans="1:11" x14ac:dyDescent="0.2">
      <c r="F271" s="127"/>
      <c r="G271" s="157"/>
      <c r="H271" s="87"/>
      <c r="I271" s="87"/>
    </row>
    <row r="272" spans="1:11" hidden="1" x14ac:dyDescent="0.2">
      <c r="E272" s="1" t="s">
        <v>23</v>
      </c>
      <c r="F272" s="128">
        <f>F267-F256</f>
        <v>0</v>
      </c>
      <c r="G272" s="156">
        <f>G267-G256</f>
        <v>0</v>
      </c>
      <c r="H272" s="128">
        <f>H267-H256</f>
        <v>0</v>
      </c>
      <c r="I272" s="128">
        <f>I267-I256</f>
        <v>0</v>
      </c>
    </row>
    <row r="273" spans="6:9" hidden="1" x14ac:dyDescent="0.2">
      <c r="F273" s="129">
        <f>F269+F270-F256</f>
        <v>0</v>
      </c>
      <c r="G273" s="155">
        <f>G269+G270-G256</f>
        <v>0</v>
      </c>
      <c r="H273" s="129">
        <f>H269+H270-H256</f>
        <v>0</v>
      </c>
      <c r="I273" s="129">
        <f>I269+I270-I256</f>
        <v>0</v>
      </c>
    </row>
  </sheetData>
  <dataConsolidate/>
  <mergeCells count="266">
    <mergeCell ref="S242:W242"/>
    <mergeCell ref="S241:W241"/>
    <mergeCell ref="S194:W194"/>
    <mergeCell ref="S217:W217"/>
    <mergeCell ref="S216:W216"/>
    <mergeCell ref="J213:J215"/>
    <mergeCell ref="S199:W199"/>
    <mergeCell ref="S203:W203"/>
    <mergeCell ref="J203:J204"/>
    <mergeCell ref="J222:J223"/>
    <mergeCell ref="E212:Q212"/>
    <mergeCell ref="E213:I215"/>
    <mergeCell ref="E216:I218"/>
    <mergeCell ref="E222:I223"/>
    <mergeCell ref="E228:Q228"/>
    <mergeCell ref="E229:I229"/>
    <mergeCell ref="E230:I231"/>
    <mergeCell ref="E237:I237"/>
    <mergeCell ref="E238:I238"/>
    <mergeCell ref="E236:Q236"/>
    <mergeCell ref="Q213:Q215"/>
    <mergeCell ref="E241:I242"/>
    <mergeCell ref="E207:I207"/>
    <mergeCell ref="E194:I195"/>
    <mergeCell ref="A10:P10"/>
    <mergeCell ref="R11:R12"/>
    <mergeCell ref="H11:H12"/>
    <mergeCell ref="I11:I12"/>
    <mergeCell ref="E11:E12"/>
    <mergeCell ref="G11:G12"/>
    <mergeCell ref="F11:F12"/>
    <mergeCell ref="Q11:Q12"/>
    <mergeCell ref="J57:J62"/>
    <mergeCell ref="J23:J28"/>
    <mergeCell ref="J38:J43"/>
    <mergeCell ref="C57:C66"/>
    <mergeCell ref="D33:D37"/>
    <mergeCell ref="A57:A66"/>
    <mergeCell ref="B57:B66"/>
    <mergeCell ref="C33:C37"/>
    <mergeCell ref="C38:C47"/>
    <mergeCell ref="C48:C56"/>
    <mergeCell ref="D38:D47"/>
    <mergeCell ref="D57:D66"/>
    <mergeCell ref="N11:P11"/>
    <mergeCell ref="A11:C11"/>
    <mergeCell ref="D11:D12"/>
    <mergeCell ref="C23:C32"/>
    <mergeCell ref="A15:A22"/>
    <mergeCell ref="B15:B22"/>
    <mergeCell ref="C15:C22"/>
    <mergeCell ref="D15:D22"/>
    <mergeCell ref="A33:A37"/>
    <mergeCell ref="B33:B37"/>
    <mergeCell ref="B38:B47"/>
    <mergeCell ref="A38:A47"/>
    <mergeCell ref="A48:A56"/>
    <mergeCell ref="B48:B56"/>
    <mergeCell ref="A23:A32"/>
    <mergeCell ref="B23:B32"/>
    <mergeCell ref="A77:A86"/>
    <mergeCell ref="C67:C76"/>
    <mergeCell ref="B77:B86"/>
    <mergeCell ref="A87:A96"/>
    <mergeCell ref="B87:B96"/>
    <mergeCell ref="B107:B116"/>
    <mergeCell ref="B97:B106"/>
    <mergeCell ref="D97:D106"/>
    <mergeCell ref="E166:I169"/>
    <mergeCell ref="E107:I112"/>
    <mergeCell ref="E117:I121"/>
    <mergeCell ref="E126:I129"/>
    <mergeCell ref="A97:A106"/>
    <mergeCell ref="A107:A116"/>
    <mergeCell ref="A67:A76"/>
    <mergeCell ref="B67:B76"/>
    <mergeCell ref="E67:I72"/>
    <mergeCell ref="E77:I82"/>
    <mergeCell ref="E87:I92"/>
    <mergeCell ref="D87:D96"/>
    <mergeCell ref="B134:B141"/>
    <mergeCell ref="B142:B149"/>
    <mergeCell ref="B150:B157"/>
    <mergeCell ref="B158:B165"/>
    <mergeCell ref="L11:M11"/>
    <mergeCell ref="J11:J12"/>
    <mergeCell ref="K11:K12"/>
    <mergeCell ref="J48:J52"/>
    <mergeCell ref="J158:J161"/>
    <mergeCell ref="J97:J102"/>
    <mergeCell ref="J67:J72"/>
    <mergeCell ref="J87:J92"/>
    <mergeCell ref="J77:J82"/>
    <mergeCell ref="E14:Q14"/>
    <mergeCell ref="Q15:Q22"/>
    <mergeCell ref="J15:J22"/>
    <mergeCell ref="E15:I22"/>
    <mergeCell ref="J107:J112"/>
    <mergeCell ref="E97:I102"/>
    <mergeCell ref="J117:J121"/>
    <mergeCell ref="E134:I137"/>
    <mergeCell ref="E142:I145"/>
    <mergeCell ref="E150:I153"/>
    <mergeCell ref="E158:I161"/>
    <mergeCell ref="E57:I62"/>
    <mergeCell ref="E23:I28"/>
    <mergeCell ref="E33:I33"/>
    <mergeCell ref="E38:I43"/>
    <mergeCell ref="A142:A149"/>
    <mergeCell ref="A150:A157"/>
    <mergeCell ref="A270:E270"/>
    <mergeCell ref="A267:E267"/>
    <mergeCell ref="A268:E268"/>
    <mergeCell ref="A269:E269"/>
    <mergeCell ref="B189:B190"/>
    <mergeCell ref="J189:J190"/>
    <mergeCell ref="J194:J195"/>
    <mergeCell ref="A258:K258"/>
    <mergeCell ref="J241:J242"/>
    <mergeCell ref="A263:D263"/>
    <mergeCell ref="A264:D264"/>
    <mergeCell ref="A238:A240"/>
    <mergeCell ref="B238:B240"/>
    <mergeCell ref="C238:C240"/>
    <mergeCell ref="D238:D240"/>
    <mergeCell ref="A241:A244"/>
    <mergeCell ref="J199:J200"/>
    <mergeCell ref="A266:D266"/>
    <mergeCell ref="A203:A206"/>
    <mergeCell ref="A248:A250"/>
    <mergeCell ref="B248:B250"/>
    <mergeCell ref="C248:C250"/>
    <mergeCell ref="S151:U151"/>
    <mergeCell ref="S159:U159"/>
    <mergeCell ref="J142:J145"/>
    <mergeCell ref="S142:W142"/>
    <mergeCell ref="E191:I191"/>
    <mergeCell ref="E175:I175"/>
    <mergeCell ref="B183:B187"/>
    <mergeCell ref="D166:D173"/>
    <mergeCell ref="J166:J169"/>
    <mergeCell ref="E181:Q181"/>
    <mergeCell ref="E182:I182"/>
    <mergeCell ref="E189:I190"/>
    <mergeCell ref="Q189:Q190"/>
    <mergeCell ref="D183:D187"/>
    <mergeCell ref="S150:W150"/>
    <mergeCell ref="S158:W158"/>
    <mergeCell ref="J150:J153"/>
    <mergeCell ref="S167:U167"/>
    <mergeCell ref="S166:W166"/>
    <mergeCell ref="C142:C149"/>
    <mergeCell ref="C150:C157"/>
    <mergeCell ref="C158:C165"/>
    <mergeCell ref="C166:C173"/>
    <mergeCell ref="E48:I52"/>
    <mergeCell ref="D48:D56"/>
    <mergeCell ref="D77:D86"/>
    <mergeCell ref="D67:D76"/>
    <mergeCell ref="C77:C86"/>
    <mergeCell ref="C87:C96"/>
    <mergeCell ref="D23:D32"/>
    <mergeCell ref="S135:U135"/>
    <mergeCell ref="S143:U143"/>
    <mergeCell ref="S98:U98"/>
    <mergeCell ref="S127:U127"/>
    <mergeCell ref="S117:W117"/>
    <mergeCell ref="S126:W126"/>
    <mergeCell ref="J134:J137"/>
    <mergeCell ref="S134:W134"/>
    <mergeCell ref="J126:J129"/>
    <mergeCell ref="C134:C141"/>
    <mergeCell ref="A176:A178"/>
    <mergeCell ref="B176:B178"/>
    <mergeCell ref="C176:C178"/>
    <mergeCell ref="D176:D178"/>
    <mergeCell ref="E176:I176"/>
    <mergeCell ref="C97:C106"/>
    <mergeCell ref="C107:C116"/>
    <mergeCell ref="C117:C125"/>
    <mergeCell ref="C126:C133"/>
    <mergeCell ref="D158:D165"/>
    <mergeCell ref="D150:D157"/>
    <mergeCell ref="D142:D149"/>
    <mergeCell ref="D134:D141"/>
    <mergeCell ref="D126:D133"/>
    <mergeCell ref="D117:D125"/>
    <mergeCell ref="D107:D116"/>
    <mergeCell ref="B166:B173"/>
    <mergeCell ref="B117:B125"/>
    <mergeCell ref="B126:B133"/>
    <mergeCell ref="A166:A173"/>
    <mergeCell ref="A158:A165"/>
    <mergeCell ref="A117:A125"/>
    <mergeCell ref="A126:A133"/>
    <mergeCell ref="A134:A141"/>
    <mergeCell ref="A189:A190"/>
    <mergeCell ref="C189:C190"/>
    <mergeCell ref="D189:D190"/>
    <mergeCell ref="E183:I185"/>
    <mergeCell ref="A183:A187"/>
    <mergeCell ref="C183:C187"/>
    <mergeCell ref="J183:J185"/>
    <mergeCell ref="A265:D265"/>
    <mergeCell ref="A230:A233"/>
    <mergeCell ref="A245:A247"/>
    <mergeCell ref="B245:B247"/>
    <mergeCell ref="C245:C247"/>
    <mergeCell ref="D245:D247"/>
    <mergeCell ref="A213:A215"/>
    <mergeCell ref="C213:C215"/>
    <mergeCell ref="A216:A221"/>
    <mergeCell ref="B216:B221"/>
    <mergeCell ref="B222:B225"/>
    <mergeCell ref="C230:C233"/>
    <mergeCell ref="B241:B244"/>
    <mergeCell ref="B213:B215"/>
    <mergeCell ref="D241:D244"/>
    <mergeCell ref="A257:K257"/>
    <mergeCell ref="E245:I245"/>
    <mergeCell ref="E248:I248"/>
    <mergeCell ref="D230:D233"/>
    <mergeCell ref="A222:A225"/>
    <mergeCell ref="A261:D261"/>
    <mergeCell ref="J230:J231"/>
    <mergeCell ref="A262:D262"/>
    <mergeCell ref="C241:C244"/>
    <mergeCell ref="A191:A193"/>
    <mergeCell ref="B191:B193"/>
    <mergeCell ref="C191:C193"/>
    <mergeCell ref="D191:D193"/>
    <mergeCell ref="A194:A198"/>
    <mergeCell ref="B194:B198"/>
    <mergeCell ref="C194:C198"/>
    <mergeCell ref="D194:D198"/>
    <mergeCell ref="B203:B206"/>
    <mergeCell ref="C203:C206"/>
    <mergeCell ref="D203:D206"/>
    <mergeCell ref="E203:I204"/>
    <mergeCell ref="E199:I200"/>
    <mergeCell ref="D248:D250"/>
    <mergeCell ref="A260:I260"/>
    <mergeCell ref="S207:W207"/>
    <mergeCell ref="A251:A253"/>
    <mergeCell ref="B251:B253"/>
    <mergeCell ref="C251:C253"/>
    <mergeCell ref="D251:D253"/>
    <mergeCell ref="E251:I251"/>
    <mergeCell ref="S251:W251"/>
    <mergeCell ref="A199:A202"/>
    <mergeCell ref="C199:C202"/>
    <mergeCell ref="D199:D202"/>
    <mergeCell ref="B199:B202"/>
    <mergeCell ref="B230:B233"/>
    <mergeCell ref="C222:C225"/>
    <mergeCell ref="D222:D225"/>
    <mergeCell ref="A207:A209"/>
    <mergeCell ref="B207:B209"/>
    <mergeCell ref="C207:C209"/>
    <mergeCell ref="D207:D209"/>
    <mergeCell ref="J216:J218"/>
    <mergeCell ref="C216:C221"/>
    <mergeCell ref="D213:D215"/>
    <mergeCell ref="D216:D221"/>
    <mergeCell ref="S245:W245"/>
    <mergeCell ref="S248:W248"/>
  </mergeCells>
  <phoneticPr fontId="4" type="noConversion"/>
  <pageMargins left="0.23622047244094491" right="0.23622047244094491" top="0.74803149606299213" bottom="0.74803149606299213" header="0.31496062992125984" footer="0.31496062992125984"/>
  <pageSetup paperSize="9" scale="10" fitToWidth="0" fitToHeight="0" orientation="landscape" r:id="rId1"/>
  <rowBreaks count="7" manualBreakCount="7">
    <brk id="32" max="16" man="1"/>
    <brk id="56" max="16" man="1"/>
    <brk id="96" max="16" man="1"/>
    <brk id="125" max="16" man="1"/>
    <brk id="180" max="16" man="1"/>
    <brk id="211" max="16" man="1"/>
    <brk id="259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2"/>
  <sheetViews>
    <sheetView zoomScale="80" zoomScaleNormal="80" zoomScaleSheetLayoutView="100" workbookViewId="0">
      <pane ySplit="13" topLeftCell="A14" activePane="bottomLeft" state="frozen"/>
      <selection pane="bottomLeft" activeCell="L27" sqref="L27"/>
    </sheetView>
  </sheetViews>
  <sheetFormatPr defaultColWidth="9.140625" defaultRowHeight="12.75" x14ac:dyDescent="0.2"/>
  <cols>
    <col min="1" max="2" width="5" style="11" customWidth="1"/>
    <col min="3" max="4" width="5" style="9" customWidth="1"/>
    <col min="5" max="5" width="17.7109375" style="9" customWidth="1"/>
    <col min="6" max="6" width="13" style="9" customWidth="1"/>
    <col min="7" max="7" width="13" style="10" customWidth="1"/>
    <col min="8" max="9" width="13" style="9" customWidth="1"/>
    <col min="10" max="11" width="24.7109375" style="9" customWidth="1"/>
    <col min="12" max="12" width="49.7109375" style="9" customWidth="1"/>
    <col min="13" max="16" width="6.28515625" style="9" customWidth="1"/>
    <col min="17" max="17" width="32.7109375" style="9" customWidth="1"/>
    <col min="18" max="18" width="11.7109375" style="9" hidden="1" customWidth="1"/>
    <col min="19" max="19" width="10" style="9" customWidth="1"/>
    <col min="20" max="20" width="46.7109375" style="9" bestFit="1" customWidth="1"/>
    <col min="21" max="16384" width="9.140625" style="9"/>
  </cols>
  <sheetData>
    <row r="1" spans="1:19" x14ac:dyDescent="0.2">
      <c r="Q1" s="9" t="str">
        <f>'001'!Q1</f>
        <v>PATVIRTINTA</v>
      </c>
    </row>
    <row r="2" spans="1:19" x14ac:dyDescent="0.2">
      <c r="Q2" s="9" t="str">
        <f>'001'!Q2</f>
        <v>Plungės rajono savivaldybės tarybos</v>
      </c>
    </row>
    <row r="3" spans="1:19" x14ac:dyDescent="0.2">
      <c r="Q3" s="9" t="str">
        <f>'001'!Q3</f>
        <v>2026 m. vasario 12 d. sprendimu Nr. T1-</v>
      </c>
    </row>
    <row r="4" spans="1:19" hidden="1" x14ac:dyDescent="0.2">
      <c r="Q4" s="9" t="str">
        <f>'001'!Q4</f>
        <v xml:space="preserve">(2026 m. mėn. d. sprendimo Nr. </v>
      </c>
    </row>
    <row r="5" spans="1:19" hidden="1" x14ac:dyDescent="0.2">
      <c r="Q5" s="9" t="str">
        <f>'001'!Q5</f>
        <v>T1- redakcija)</v>
      </c>
    </row>
    <row r="6" spans="1:19" x14ac:dyDescent="0.2">
      <c r="Q6" s="9" t="str">
        <f>'001'!Q6</f>
        <v xml:space="preserve">Plungės rajono savivaldybės </v>
      </c>
    </row>
    <row r="7" spans="1:19" x14ac:dyDescent="0.2">
      <c r="G7" s="50"/>
      <c r="H7" s="50"/>
      <c r="I7" s="50"/>
      <c r="Q7" s="9" t="str">
        <f>'001'!Q7</f>
        <v>2026–2028 metų  strateginio veiklos plano</v>
      </c>
    </row>
    <row r="8" spans="1:19" x14ac:dyDescent="0.2">
      <c r="G8" s="50"/>
      <c r="H8" s="50"/>
      <c r="I8" s="50"/>
      <c r="Q8" s="50" t="s">
        <v>303</v>
      </c>
    </row>
    <row r="9" spans="1:19" x14ac:dyDescent="0.2">
      <c r="G9" s="49"/>
      <c r="H9" s="49"/>
      <c r="I9" s="49"/>
      <c r="J9" s="49"/>
    </row>
    <row r="10" spans="1:19" x14ac:dyDescent="0.2">
      <c r="A10" s="460" t="s">
        <v>920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66" t="s">
        <v>244</v>
      </c>
      <c r="R10" s="65"/>
    </row>
    <row r="11" spans="1:19" ht="26.25" customHeight="1" x14ac:dyDescent="0.2">
      <c r="A11" s="418" t="str">
        <f>'001'!A11:R13</f>
        <v>Kodas</v>
      </c>
      <c r="B11" s="418"/>
      <c r="C11" s="418"/>
      <c r="D11" s="443" t="str">
        <f>'001'!D11:D12</f>
        <v>Uždavinio/ priemonės požymis *</v>
      </c>
      <c r="E11" s="418" t="str">
        <f>'001'!E11:E12</f>
        <v>Programos tikslo/uždavinio/priemonės pavadinimas ir finansavimo šaltiniai</v>
      </c>
      <c r="F11" s="418" t="str">
        <f>'001'!F11:F12</f>
        <v>2025-ųjų m. asignavimai ir kitos lėšos (2025-02-13 datai)</v>
      </c>
      <c r="G11" s="442" t="str">
        <f>'001'!G11:G12</f>
        <v>2026-ųjų m. asignavimai ir kitos lėšos</v>
      </c>
      <c r="H11" s="418" t="str">
        <f>'001'!H11:H12</f>
        <v>Planuojami 2027-ųjų m. asignavimai ir kitos lėšos</v>
      </c>
      <c r="I11" s="418" t="str">
        <f>'001'!I11:I12</f>
        <v>Planuojami 2028-ųjų m. asignavimai ir kitos lėšos</v>
      </c>
      <c r="J11" s="418" t="str">
        <f>'001'!J11:J12</f>
        <v>Savivaldybės strateginio plėtros plano tikslo/uždavinio kodas**</v>
      </c>
      <c r="K11" s="418" t="str">
        <f>'001'!K11:K12</f>
        <v>Stebėsenos rodiklio kodas</v>
      </c>
      <c r="L11" s="417" t="str">
        <f>'001'!L11:M11</f>
        <v>Stebėsenos rodiklio</v>
      </c>
      <c r="M11" s="417"/>
      <c r="N11" s="417" t="str">
        <f>'001'!N11:P11</f>
        <v>Siektinos stebėsenos rodiklių reikšmės</v>
      </c>
      <c r="O11" s="417"/>
      <c r="P11" s="417"/>
      <c r="Q11" s="417" t="str">
        <f>'001'!Q11:Q12</f>
        <v>Savivaldybės strateginio plėtros plano rodiklio kodas**</v>
      </c>
      <c r="R11" s="441" t="str">
        <f>'001'!R11:R12</f>
        <v>Asignavimų skirtumas (2024 m.- 2025 m.)</v>
      </c>
    </row>
    <row r="12" spans="1:19" ht="83.25" customHeight="1" x14ac:dyDescent="0.2">
      <c r="A12" s="68" t="str">
        <f>'001'!A12</f>
        <v>tikslo</v>
      </c>
      <c r="B12" s="68" t="str">
        <f>'001'!B12</f>
        <v>uždavinio</v>
      </c>
      <c r="C12" s="68" t="str">
        <f>'001'!C12</f>
        <v>priemonės</v>
      </c>
      <c r="D12" s="443"/>
      <c r="E12" s="418"/>
      <c r="F12" s="418"/>
      <c r="G12" s="442"/>
      <c r="H12" s="418"/>
      <c r="I12" s="418"/>
      <c r="J12" s="418"/>
      <c r="K12" s="418"/>
      <c r="L12" s="72" t="str">
        <f>'001'!L12</f>
        <v>pavadinimas</v>
      </c>
      <c r="M12" s="72" t="str">
        <f>'001'!M12</f>
        <v>mato vnt.</v>
      </c>
      <c r="N12" s="72">
        <f>'001'!N12</f>
        <v>2026</v>
      </c>
      <c r="O12" s="72">
        <f>'001'!O12</f>
        <v>2027</v>
      </c>
      <c r="P12" s="72">
        <f>'001'!P12</f>
        <v>2028</v>
      </c>
      <c r="Q12" s="417"/>
      <c r="R12" s="441"/>
    </row>
    <row r="13" spans="1:19" x14ac:dyDescent="0.2">
      <c r="A13" s="47">
        <f>'001'!A13</f>
        <v>1</v>
      </c>
      <c r="B13" s="47">
        <f>'001'!B13</f>
        <v>2</v>
      </c>
      <c r="C13" s="47">
        <f>'001'!C13</f>
        <v>3</v>
      </c>
      <c r="D13" s="47">
        <f>'001'!D13</f>
        <v>4</v>
      </c>
      <c r="E13" s="47">
        <f>'001'!E13</f>
        <v>5</v>
      </c>
      <c r="F13" s="47">
        <f>'001'!F13</f>
        <v>6</v>
      </c>
      <c r="G13" s="48">
        <f>'001'!G13</f>
        <v>7</v>
      </c>
      <c r="H13" s="47">
        <f>'001'!H13</f>
        <v>8</v>
      </c>
      <c r="I13" s="47">
        <f>'001'!I13</f>
        <v>9</v>
      </c>
      <c r="J13" s="47">
        <f>'001'!J13</f>
        <v>10</v>
      </c>
      <c r="K13" s="47">
        <f>'001'!K13</f>
        <v>11</v>
      </c>
      <c r="L13" s="47">
        <f>'001'!L13</f>
        <v>12</v>
      </c>
      <c r="M13" s="47">
        <f>'001'!M13</f>
        <v>13</v>
      </c>
      <c r="N13" s="47">
        <f>'001'!N13</f>
        <v>14</v>
      </c>
      <c r="O13" s="47">
        <f>'001'!O13</f>
        <v>15</v>
      </c>
      <c r="P13" s="47">
        <f>'001'!P13</f>
        <v>16</v>
      </c>
      <c r="Q13" s="47">
        <f>'001'!Q13</f>
        <v>17</v>
      </c>
      <c r="R13" s="47">
        <f>'001'!R13</f>
        <v>18</v>
      </c>
    </row>
    <row r="14" spans="1:19" s="178" customFormat="1" x14ac:dyDescent="0.2">
      <c r="A14" s="142" t="s">
        <v>0</v>
      </c>
      <c r="B14" s="46"/>
      <c r="C14" s="46"/>
      <c r="D14" s="46"/>
      <c r="E14" s="461" t="s">
        <v>841</v>
      </c>
      <c r="F14" s="461"/>
      <c r="G14" s="461"/>
      <c r="H14" s="461"/>
      <c r="I14" s="461"/>
      <c r="J14" s="461"/>
      <c r="K14" s="461"/>
      <c r="L14" s="461"/>
      <c r="M14" s="461"/>
      <c r="N14" s="461"/>
      <c r="O14" s="461"/>
      <c r="P14" s="461"/>
      <c r="Q14" s="461"/>
      <c r="R14" s="177"/>
    </row>
    <row r="15" spans="1:19" s="178" customFormat="1" ht="114.75" x14ac:dyDescent="0.2">
      <c r="A15" s="142" t="s">
        <v>0</v>
      </c>
      <c r="B15" s="147" t="s">
        <v>0</v>
      </c>
      <c r="C15" s="146"/>
      <c r="D15" s="146" t="s">
        <v>301</v>
      </c>
      <c r="E15" s="457" t="s">
        <v>300</v>
      </c>
      <c r="F15" s="457"/>
      <c r="G15" s="457"/>
      <c r="H15" s="457"/>
      <c r="I15" s="457"/>
      <c r="J15" s="77" t="s">
        <v>299</v>
      </c>
      <c r="K15" s="179" t="s">
        <v>298</v>
      </c>
      <c r="L15" s="179" t="s">
        <v>297</v>
      </c>
      <c r="M15" s="180" t="s">
        <v>11</v>
      </c>
      <c r="N15" s="180">
        <v>57</v>
      </c>
      <c r="O15" s="180">
        <v>67</v>
      </c>
      <c r="P15" s="180">
        <v>64</v>
      </c>
      <c r="Q15" s="180" t="s">
        <v>1021</v>
      </c>
      <c r="R15" s="177"/>
      <c r="S15" s="181"/>
    </row>
    <row r="16" spans="1:19" s="178" customFormat="1" ht="13.5" x14ac:dyDescent="0.2">
      <c r="A16" s="454" t="s">
        <v>0</v>
      </c>
      <c r="B16" s="464" t="s">
        <v>0</v>
      </c>
      <c r="C16" s="450" t="s">
        <v>0</v>
      </c>
      <c r="D16" s="458" t="s">
        <v>21</v>
      </c>
      <c r="E16" s="465" t="s">
        <v>296</v>
      </c>
      <c r="F16" s="465"/>
      <c r="G16" s="465"/>
      <c r="H16" s="465"/>
      <c r="I16" s="465"/>
      <c r="J16" s="143" t="s">
        <v>19</v>
      </c>
      <c r="K16" s="182" t="s">
        <v>295</v>
      </c>
      <c r="L16" s="182" t="s">
        <v>294</v>
      </c>
      <c r="M16" s="141" t="s">
        <v>12</v>
      </c>
      <c r="N16" s="183">
        <v>5</v>
      </c>
      <c r="O16" s="183">
        <v>5</v>
      </c>
      <c r="P16" s="183">
        <v>5</v>
      </c>
      <c r="Q16" s="188" t="s">
        <v>19</v>
      </c>
      <c r="R16" s="177"/>
      <c r="S16" s="181"/>
    </row>
    <row r="17" spans="1:19" s="178" customFormat="1" x14ac:dyDescent="0.2">
      <c r="A17" s="454"/>
      <c r="B17" s="464"/>
      <c r="C17" s="450"/>
      <c r="D17" s="458"/>
      <c r="E17" s="141" t="s">
        <v>14</v>
      </c>
      <c r="F17" s="31">
        <v>60</v>
      </c>
      <c r="G17" s="31">
        <v>41.2</v>
      </c>
      <c r="H17" s="94">
        <f>ROUND(G17*Lapas1!$A$1,1)</f>
        <v>44.9</v>
      </c>
      <c r="I17" s="94">
        <f>ROUND(H17*Lapas1!$A$2,1)</f>
        <v>50.7</v>
      </c>
      <c r="J17" s="184"/>
      <c r="K17" s="184"/>
      <c r="L17" s="185"/>
      <c r="M17" s="186"/>
      <c r="N17" s="24"/>
      <c r="O17" s="186"/>
      <c r="P17" s="186"/>
      <c r="Q17" s="187"/>
      <c r="R17" s="177"/>
    </row>
    <row r="18" spans="1:19" s="178" customFormat="1" x14ac:dyDescent="0.2">
      <c r="A18" s="454"/>
      <c r="B18" s="464"/>
      <c r="C18" s="450"/>
      <c r="D18" s="458"/>
      <c r="E18" s="29" t="s">
        <v>22</v>
      </c>
      <c r="F18" s="17">
        <f>SUM(F17)</f>
        <v>60</v>
      </c>
      <c r="G18" s="28">
        <f>SUM(G17)</f>
        <v>41.2</v>
      </c>
      <c r="H18" s="17">
        <f>SUM(H17)</f>
        <v>44.9</v>
      </c>
      <c r="I18" s="17">
        <f>SUM(I17)</f>
        <v>50.7</v>
      </c>
      <c r="J18" s="184"/>
      <c r="K18" s="184"/>
      <c r="L18" s="185"/>
      <c r="M18" s="186"/>
      <c r="N18" s="24"/>
      <c r="O18" s="186"/>
      <c r="P18" s="186"/>
      <c r="Q18" s="187"/>
      <c r="R18" s="42">
        <f>(G18-F18)/F18</f>
        <v>-0.3133333333333333</v>
      </c>
    </row>
    <row r="19" spans="1:19" s="178" customFormat="1" ht="25.5" x14ac:dyDescent="0.2">
      <c r="A19" s="454" t="s">
        <v>0</v>
      </c>
      <c r="B19" s="455" t="s">
        <v>0</v>
      </c>
      <c r="C19" s="449" t="s">
        <v>10</v>
      </c>
      <c r="D19" s="458" t="s">
        <v>813</v>
      </c>
      <c r="E19" s="451" t="s">
        <v>814</v>
      </c>
      <c r="F19" s="451"/>
      <c r="G19" s="451"/>
      <c r="H19" s="451"/>
      <c r="I19" s="451"/>
      <c r="J19" s="141" t="s">
        <v>850</v>
      </c>
      <c r="K19" s="182" t="s">
        <v>293</v>
      </c>
      <c r="L19" s="182" t="s">
        <v>815</v>
      </c>
      <c r="M19" s="188" t="s">
        <v>12</v>
      </c>
      <c r="N19" s="188">
        <v>1</v>
      </c>
      <c r="O19" s="188">
        <v>0</v>
      </c>
      <c r="P19" s="188">
        <v>0</v>
      </c>
      <c r="Q19" s="188" t="s">
        <v>1006</v>
      </c>
      <c r="R19" s="177"/>
    </row>
    <row r="20" spans="1:19" s="178" customFormat="1" x14ac:dyDescent="0.2">
      <c r="A20" s="454"/>
      <c r="B20" s="455"/>
      <c r="C20" s="449"/>
      <c r="D20" s="458"/>
      <c r="E20" s="143" t="s">
        <v>14</v>
      </c>
      <c r="F20" s="31">
        <v>25.4</v>
      </c>
      <c r="G20" s="31">
        <v>0</v>
      </c>
      <c r="H20" s="30">
        <v>0</v>
      </c>
      <c r="I20" s="30">
        <v>0</v>
      </c>
      <c r="J20" s="184"/>
      <c r="K20" s="184"/>
      <c r="L20" s="189"/>
      <c r="M20" s="189"/>
      <c r="N20" s="24"/>
      <c r="O20" s="189"/>
      <c r="P20" s="189"/>
      <c r="Q20" s="189"/>
      <c r="R20" s="177"/>
    </row>
    <row r="21" spans="1:19" s="178" customFormat="1" x14ac:dyDescent="0.2">
      <c r="A21" s="454"/>
      <c r="B21" s="455"/>
      <c r="C21" s="449"/>
      <c r="D21" s="458"/>
      <c r="E21" s="143" t="s">
        <v>162</v>
      </c>
      <c r="F21" s="45">
        <f>195+45.5</f>
        <v>240.5</v>
      </c>
      <c r="G21" s="45">
        <f>300+41.69</f>
        <v>341.69</v>
      </c>
      <c r="H21" s="30">
        <v>0</v>
      </c>
      <c r="I21" s="30">
        <v>0</v>
      </c>
      <c r="J21" s="184"/>
      <c r="K21" s="184"/>
      <c r="L21" s="189"/>
      <c r="M21" s="189"/>
      <c r="N21" s="24"/>
      <c r="O21" s="189"/>
      <c r="P21" s="189"/>
      <c r="Q21" s="189"/>
      <c r="R21" s="177"/>
    </row>
    <row r="22" spans="1:19" s="178" customFormat="1" x14ac:dyDescent="0.2">
      <c r="A22" s="454"/>
      <c r="B22" s="455"/>
      <c r="C22" s="449"/>
      <c r="D22" s="458"/>
      <c r="E22" s="29" t="s">
        <v>22</v>
      </c>
      <c r="F22" s="17">
        <f>SUM(F20:F21)</f>
        <v>265.89999999999998</v>
      </c>
      <c r="G22" s="28">
        <f>SUM(G20:G21)</f>
        <v>341.69</v>
      </c>
      <c r="H22" s="17">
        <f>SUM(H20:H21)</f>
        <v>0</v>
      </c>
      <c r="I22" s="17">
        <f>SUM(I20:I21)</f>
        <v>0</v>
      </c>
      <c r="J22" s="190"/>
      <c r="K22" s="190"/>
      <c r="L22" s="189"/>
      <c r="M22" s="189"/>
      <c r="N22" s="24"/>
      <c r="O22" s="189"/>
      <c r="P22" s="189"/>
      <c r="Q22" s="189"/>
      <c r="R22" s="42">
        <f>(G22-F22)/F22</f>
        <v>0.28503196690485155</v>
      </c>
    </row>
    <row r="23" spans="1:19" s="178" customFormat="1" ht="12.75" customHeight="1" x14ac:dyDescent="0.2">
      <c r="A23" s="454" t="s">
        <v>0</v>
      </c>
      <c r="B23" s="455" t="s">
        <v>0</v>
      </c>
      <c r="C23" s="449" t="s">
        <v>24</v>
      </c>
      <c r="D23" s="458" t="s">
        <v>292</v>
      </c>
      <c r="E23" s="451" t="s">
        <v>906</v>
      </c>
      <c r="F23" s="451"/>
      <c r="G23" s="451"/>
      <c r="H23" s="451"/>
      <c r="I23" s="451"/>
      <c r="J23" s="342" t="s">
        <v>851</v>
      </c>
      <c r="K23" s="182" t="s">
        <v>896</v>
      </c>
      <c r="L23" s="182" t="s">
        <v>810</v>
      </c>
      <c r="M23" s="188" t="s">
        <v>12</v>
      </c>
      <c r="N23" s="188">
        <v>2</v>
      </c>
      <c r="O23" s="188">
        <v>0</v>
      </c>
      <c r="P23" s="188">
        <v>0</v>
      </c>
      <c r="Q23" s="341" t="s">
        <v>1007</v>
      </c>
      <c r="R23" s="177"/>
    </row>
    <row r="24" spans="1:19" s="178" customFormat="1" x14ac:dyDescent="0.2">
      <c r="A24" s="454"/>
      <c r="B24" s="455"/>
      <c r="C24" s="449"/>
      <c r="D24" s="458"/>
      <c r="E24" s="238" t="s">
        <v>14</v>
      </c>
      <c r="F24" s="31">
        <v>65.3</v>
      </c>
      <c r="G24" s="31">
        <f>33.3+263.2</f>
        <v>296.5</v>
      </c>
      <c r="H24" s="30">
        <v>0</v>
      </c>
      <c r="I24" s="30">
        <v>0</v>
      </c>
      <c r="J24" s="191"/>
      <c r="K24" s="191"/>
      <c r="L24" s="192"/>
      <c r="M24" s="187"/>
      <c r="N24" s="24"/>
      <c r="O24" s="187"/>
      <c r="P24" s="187"/>
      <c r="Q24" s="187"/>
      <c r="R24" s="177"/>
    </row>
    <row r="25" spans="1:19" s="178" customFormat="1" x14ac:dyDescent="0.2">
      <c r="A25" s="454"/>
      <c r="B25" s="455"/>
      <c r="C25" s="449"/>
      <c r="D25" s="458"/>
      <c r="E25" s="238" t="s">
        <v>18</v>
      </c>
      <c r="F25" s="31">
        <v>2200</v>
      </c>
      <c r="G25" s="31">
        <v>966.8</v>
      </c>
      <c r="H25" s="30">
        <v>0</v>
      </c>
      <c r="I25" s="30">
        <v>0</v>
      </c>
      <c r="J25" s="191"/>
      <c r="K25" s="191"/>
      <c r="L25" s="192"/>
      <c r="M25" s="187"/>
      <c r="N25" s="24"/>
      <c r="O25" s="187"/>
      <c r="P25" s="187"/>
      <c r="Q25" s="187"/>
      <c r="R25" s="177"/>
    </row>
    <row r="26" spans="1:19" s="178" customFormat="1" x14ac:dyDescent="0.2">
      <c r="A26" s="454"/>
      <c r="B26" s="455"/>
      <c r="C26" s="449"/>
      <c r="D26" s="458"/>
      <c r="E26" s="29" t="s">
        <v>22</v>
      </c>
      <c r="F26" s="17">
        <f>SUM(F24:F25)</f>
        <v>2265.3000000000002</v>
      </c>
      <c r="G26" s="28">
        <f>SUM(G24:G25)</f>
        <v>1263.3</v>
      </c>
      <c r="H26" s="17">
        <f>SUM(H24:H25)</f>
        <v>0</v>
      </c>
      <c r="I26" s="17">
        <f>SUM(I24:I25)</f>
        <v>0</v>
      </c>
      <c r="J26" s="191"/>
      <c r="K26" s="191"/>
      <c r="L26" s="192"/>
      <c r="M26" s="187"/>
      <c r="N26" s="24"/>
      <c r="O26" s="187"/>
      <c r="P26" s="187"/>
      <c r="Q26" s="187"/>
      <c r="R26" s="42">
        <f>(G26-F26)/F26</f>
        <v>-0.44232551979870222</v>
      </c>
    </row>
    <row r="27" spans="1:19" s="178" customFormat="1" ht="63.75" x14ac:dyDescent="0.2">
      <c r="A27" s="454" t="s">
        <v>0</v>
      </c>
      <c r="B27" s="455" t="s">
        <v>0</v>
      </c>
      <c r="C27" s="449" t="s">
        <v>25</v>
      </c>
      <c r="D27" s="458" t="s">
        <v>290</v>
      </c>
      <c r="E27" s="451" t="s">
        <v>289</v>
      </c>
      <c r="F27" s="451"/>
      <c r="G27" s="451"/>
      <c r="H27" s="451"/>
      <c r="I27" s="451"/>
      <c r="J27" s="141" t="s">
        <v>861</v>
      </c>
      <c r="K27" s="182" t="s">
        <v>288</v>
      </c>
      <c r="L27" s="182" t="s">
        <v>287</v>
      </c>
      <c r="M27" s="188" t="s">
        <v>12</v>
      </c>
      <c r="N27" s="188">
        <v>17</v>
      </c>
      <c r="O27" s="188">
        <v>14</v>
      </c>
      <c r="P27" s="188">
        <v>13</v>
      </c>
      <c r="Q27" s="188" t="s">
        <v>1019</v>
      </c>
      <c r="R27" s="177"/>
    </row>
    <row r="28" spans="1:19" s="178" customFormat="1" x14ac:dyDescent="0.2">
      <c r="A28" s="454"/>
      <c r="B28" s="455"/>
      <c r="C28" s="449"/>
      <c r="D28" s="458"/>
      <c r="E28" s="238" t="s">
        <v>14</v>
      </c>
      <c r="F28" s="31">
        <v>302.8</v>
      </c>
      <c r="G28" s="31">
        <v>86.7</v>
      </c>
      <c r="H28" s="30">
        <v>104.4</v>
      </c>
      <c r="I28" s="30">
        <v>143.69999999999999</v>
      </c>
      <c r="J28" s="191"/>
      <c r="K28" s="191"/>
      <c r="L28" s="192"/>
      <c r="M28" s="187"/>
      <c r="N28" s="24"/>
      <c r="O28" s="187"/>
      <c r="P28" s="187"/>
      <c r="Q28" s="187"/>
      <c r="R28" s="177"/>
    </row>
    <row r="29" spans="1:19" s="178" customFormat="1" x14ac:dyDescent="0.2">
      <c r="A29" s="454"/>
      <c r="B29" s="455"/>
      <c r="C29" s="449"/>
      <c r="D29" s="458"/>
      <c r="E29" s="238" t="s">
        <v>18</v>
      </c>
      <c r="F29" s="31">
        <v>389</v>
      </c>
      <c r="G29" s="31">
        <f>30+983.1</f>
        <v>1013.1</v>
      </c>
      <c r="H29" s="30">
        <v>2247.6999999999998</v>
      </c>
      <c r="I29" s="30">
        <v>1096.4000000000001</v>
      </c>
      <c r="J29" s="191"/>
      <c r="K29" s="191"/>
      <c r="L29" s="192"/>
      <c r="M29" s="187"/>
      <c r="N29" s="24"/>
      <c r="O29" s="187"/>
      <c r="P29" s="187"/>
      <c r="Q29" s="187"/>
      <c r="R29" s="177"/>
    </row>
    <row r="30" spans="1:19" s="178" customFormat="1" x14ac:dyDescent="0.2">
      <c r="A30" s="454"/>
      <c r="B30" s="455"/>
      <c r="C30" s="449"/>
      <c r="D30" s="458"/>
      <c r="E30" s="238" t="s">
        <v>162</v>
      </c>
      <c r="F30" s="31">
        <v>2125</v>
      </c>
      <c r="G30" s="31">
        <f>1688+160.028+18.006</f>
        <v>1866.0340000000001</v>
      </c>
      <c r="H30" s="30">
        <v>7196.5</v>
      </c>
      <c r="I30" s="30">
        <v>7106.5</v>
      </c>
      <c r="J30" s="191"/>
      <c r="K30" s="191"/>
      <c r="L30" s="192"/>
      <c r="M30" s="187"/>
      <c r="N30" s="24"/>
      <c r="O30" s="187"/>
      <c r="P30" s="187"/>
      <c r="Q30" s="187"/>
      <c r="R30" s="177"/>
    </row>
    <row r="31" spans="1:19" s="178" customFormat="1" x14ac:dyDescent="0.2">
      <c r="A31" s="454"/>
      <c r="B31" s="455"/>
      <c r="C31" s="449"/>
      <c r="D31" s="458"/>
      <c r="E31" s="29" t="s">
        <v>22</v>
      </c>
      <c r="F31" s="17">
        <f>SUM(F28:F30)</f>
        <v>2816.8</v>
      </c>
      <c r="G31" s="28">
        <f>SUM(G28:G30)</f>
        <v>2965.8339999999998</v>
      </c>
      <c r="H31" s="17">
        <f>SUM(H28:H30)</f>
        <v>9548.6</v>
      </c>
      <c r="I31" s="17">
        <f>SUM(I28:I30)</f>
        <v>8346.6</v>
      </c>
      <c r="J31" s="191"/>
      <c r="K31" s="191"/>
      <c r="L31" s="192"/>
      <c r="M31" s="187"/>
      <c r="N31" s="24"/>
      <c r="O31" s="187"/>
      <c r="P31" s="187"/>
      <c r="Q31" s="187"/>
      <c r="R31" s="42">
        <f>(G31-F31)/F31</f>
        <v>5.2908974723089905E-2</v>
      </c>
      <c r="S31" s="250"/>
    </row>
    <row r="32" spans="1:19" s="178" customFormat="1" x14ac:dyDescent="0.2">
      <c r="A32" s="454" t="s">
        <v>0</v>
      </c>
      <c r="B32" s="455" t="s">
        <v>0</v>
      </c>
      <c r="C32" s="449" t="s">
        <v>26</v>
      </c>
      <c r="D32" s="458" t="s">
        <v>78</v>
      </c>
      <c r="E32" s="451" t="s">
        <v>286</v>
      </c>
      <c r="F32" s="451"/>
      <c r="G32" s="451"/>
      <c r="H32" s="451"/>
      <c r="I32" s="451"/>
      <c r="J32" s="456" t="s">
        <v>855</v>
      </c>
      <c r="K32" s="182" t="s">
        <v>894</v>
      </c>
      <c r="L32" s="182" t="s">
        <v>285</v>
      </c>
      <c r="M32" s="188" t="s">
        <v>12</v>
      </c>
      <c r="N32" s="188">
        <v>33</v>
      </c>
      <c r="O32" s="188">
        <v>20</v>
      </c>
      <c r="P32" s="188">
        <v>20</v>
      </c>
      <c r="Q32" s="459" t="s">
        <v>1008</v>
      </c>
      <c r="R32" s="177"/>
    </row>
    <row r="33" spans="1:18" s="178" customFormat="1" ht="25.5" x14ac:dyDescent="0.2">
      <c r="A33" s="454"/>
      <c r="B33" s="455"/>
      <c r="C33" s="449"/>
      <c r="D33" s="458"/>
      <c r="E33" s="451"/>
      <c r="F33" s="451"/>
      <c r="G33" s="451"/>
      <c r="H33" s="451"/>
      <c r="I33" s="451"/>
      <c r="J33" s="456"/>
      <c r="K33" s="182" t="s">
        <v>895</v>
      </c>
      <c r="L33" s="182" t="s">
        <v>284</v>
      </c>
      <c r="M33" s="188" t="s">
        <v>12</v>
      </c>
      <c r="N33" s="188">
        <v>2</v>
      </c>
      <c r="O33" s="188">
        <v>2</v>
      </c>
      <c r="P33" s="188">
        <v>2</v>
      </c>
      <c r="Q33" s="459"/>
      <c r="R33" s="177"/>
    </row>
    <row r="34" spans="1:18" s="178" customFormat="1" x14ac:dyDescent="0.2">
      <c r="A34" s="454"/>
      <c r="B34" s="455"/>
      <c r="C34" s="449"/>
      <c r="D34" s="458"/>
      <c r="E34" s="238" t="s">
        <v>14</v>
      </c>
      <c r="F34" s="31">
        <v>552.5</v>
      </c>
      <c r="G34" s="31">
        <f>25+313</f>
        <v>338</v>
      </c>
      <c r="H34" s="30">
        <v>650</v>
      </c>
      <c r="I34" s="30">
        <v>1140</v>
      </c>
      <c r="J34" s="190"/>
      <c r="K34" s="190"/>
      <c r="L34" s="189"/>
      <c r="M34" s="189"/>
      <c r="N34" s="24"/>
      <c r="O34" s="189"/>
      <c r="P34" s="189"/>
      <c r="Q34" s="189"/>
      <c r="R34" s="177"/>
    </row>
    <row r="35" spans="1:18" s="178" customFormat="1" x14ac:dyDescent="0.2">
      <c r="A35" s="454"/>
      <c r="B35" s="455"/>
      <c r="C35" s="449"/>
      <c r="D35" s="458"/>
      <c r="E35" s="238" t="s">
        <v>15</v>
      </c>
      <c r="F35" s="31">
        <v>579.70000000000005</v>
      </c>
      <c r="G35" s="31"/>
      <c r="H35" s="30">
        <v>126.7</v>
      </c>
      <c r="I35" s="30">
        <v>25.9</v>
      </c>
      <c r="J35" s="190"/>
      <c r="K35" s="190"/>
      <c r="L35" s="189"/>
      <c r="M35" s="189"/>
      <c r="N35" s="24"/>
      <c r="O35" s="189"/>
      <c r="P35" s="189"/>
      <c r="Q35" s="189"/>
      <c r="R35" s="177"/>
    </row>
    <row r="36" spans="1:18" s="178" customFormat="1" x14ac:dyDescent="0.2">
      <c r="A36" s="454"/>
      <c r="B36" s="455"/>
      <c r="C36" s="449"/>
      <c r="D36" s="458"/>
      <c r="E36" s="238" t="s">
        <v>18</v>
      </c>
      <c r="F36" s="31">
        <v>558</v>
      </c>
      <c r="G36" s="31">
        <f>1162.5+744.8</f>
        <v>1907.3</v>
      </c>
      <c r="H36" s="30">
        <v>2914.1</v>
      </c>
      <c r="I36" s="30">
        <v>2902.8</v>
      </c>
      <c r="J36" s="190"/>
      <c r="K36" s="190"/>
      <c r="L36" s="189"/>
      <c r="M36" s="189"/>
      <c r="N36" s="24"/>
      <c r="O36" s="189"/>
      <c r="P36" s="189"/>
      <c r="Q36" s="189"/>
      <c r="R36" s="177"/>
    </row>
    <row r="37" spans="1:18" s="178" customFormat="1" x14ac:dyDescent="0.2">
      <c r="A37" s="454"/>
      <c r="B37" s="455"/>
      <c r="C37" s="449"/>
      <c r="D37" s="458"/>
      <c r="E37" s="141" t="s">
        <v>162</v>
      </c>
      <c r="F37" s="31">
        <v>2845.8</v>
      </c>
      <c r="G37" s="31">
        <f>3391.8+233.201+311.235</f>
        <v>3936.2360000000003</v>
      </c>
      <c r="H37" s="30">
        <v>1554.4</v>
      </c>
      <c r="I37" s="30">
        <v>1129.4000000000001</v>
      </c>
      <c r="J37" s="190"/>
      <c r="K37" s="190"/>
      <c r="L37" s="189"/>
      <c r="M37" s="189"/>
      <c r="N37" s="24"/>
      <c r="O37" s="189"/>
      <c r="P37" s="189"/>
      <c r="Q37" s="189"/>
      <c r="R37" s="177"/>
    </row>
    <row r="38" spans="1:18" s="178" customFormat="1" x14ac:dyDescent="0.2">
      <c r="A38" s="454"/>
      <c r="B38" s="455"/>
      <c r="C38" s="449"/>
      <c r="D38" s="458"/>
      <c r="E38" s="29" t="s">
        <v>22</v>
      </c>
      <c r="F38" s="27">
        <f>SUM(F34:F37)</f>
        <v>4536</v>
      </c>
      <c r="G38" s="28">
        <f>SUM(G34:G37)</f>
        <v>6181.5360000000001</v>
      </c>
      <c r="H38" s="27">
        <f>SUM(H34:H37)</f>
        <v>5245.2000000000007</v>
      </c>
      <c r="I38" s="27">
        <f>SUM(I34:I37)</f>
        <v>5198.1000000000004</v>
      </c>
      <c r="J38" s="190"/>
      <c r="K38" s="190"/>
      <c r="L38" s="189"/>
      <c r="M38" s="189"/>
      <c r="N38" s="24"/>
      <c r="O38" s="189"/>
      <c r="P38" s="189"/>
      <c r="Q38" s="189"/>
      <c r="R38" s="42">
        <f>(G38-F38)/F38</f>
        <v>0.3627724867724868</v>
      </c>
    </row>
    <row r="39" spans="1:18" s="178" customFormat="1" x14ac:dyDescent="0.2">
      <c r="A39" s="142" t="s">
        <v>0</v>
      </c>
      <c r="B39" s="149" t="s">
        <v>0</v>
      </c>
      <c r="C39" s="144"/>
      <c r="D39" s="144" t="s">
        <v>18</v>
      </c>
      <c r="E39" s="41" t="s">
        <v>238</v>
      </c>
      <c r="F39" s="39">
        <f>F18+F31+F38+F26+F22</f>
        <v>9944</v>
      </c>
      <c r="G39" s="40">
        <f>G18+G31+G38+G26+G22</f>
        <v>10793.56</v>
      </c>
      <c r="H39" s="39">
        <f>H18+H31+H38+H26+H22</f>
        <v>14838.7</v>
      </c>
      <c r="I39" s="39">
        <f>I18+I31+I38+I26+I22</f>
        <v>13595.400000000001</v>
      </c>
      <c r="J39" s="147"/>
      <c r="K39" s="180"/>
      <c r="L39" s="180"/>
      <c r="M39" s="180"/>
      <c r="N39" s="180"/>
      <c r="O39" s="180"/>
      <c r="P39" s="180"/>
      <c r="Q39" s="180"/>
      <c r="R39" s="177"/>
    </row>
    <row r="40" spans="1:18" s="178" customFormat="1" ht="25.5" x14ac:dyDescent="0.2">
      <c r="A40" s="142" t="s">
        <v>0</v>
      </c>
      <c r="B40" s="149" t="s">
        <v>10</v>
      </c>
      <c r="C40" s="193"/>
      <c r="D40" s="146" t="s">
        <v>31</v>
      </c>
      <c r="E40" s="457" t="s">
        <v>283</v>
      </c>
      <c r="F40" s="457"/>
      <c r="G40" s="457"/>
      <c r="H40" s="457"/>
      <c r="I40" s="457"/>
      <c r="J40" s="146" t="s">
        <v>862</v>
      </c>
      <c r="K40" s="179" t="s">
        <v>282</v>
      </c>
      <c r="L40" s="179" t="s">
        <v>281</v>
      </c>
      <c r="M40" s="180" t="s">
        <v>12</v>
      </c>
      <c r="N40" s="180">
        <v>27.5</v>
      </c>
      <c r="O40" s="180">
        <v>28</v>
      </c>
      <c r="P40" s="180">
        <v>28</v>
      </c>
      <c r="Q40" s="180" t="s">
        <v>1022</v>
      </c>
      <c r="R40" s="177"/>
    </row>
    <row r="41" spans="1:18" s="178" customFormat="1" ht="13.5" x14ac:dyDescent="0.2">
      <c r="A41" s="454" t="s">
        <v>0</v>
      </c>
      <c r="B41" s="455" t="s">
        <v>10</v>
      </c>
      <c r="C41" s="450" t="s">
        <v>0</v>
      </c>
      <c r="D41" s="456" t="s">
        <v>21</v>
      </c>
      <c r="E41" s="451" t="s">
        <v>280</v>
      </c>
      <c r="F41" s="451"/>
      <c r="G41" s="451"/>
      <c r="H41" s="451"/>
      <c r="I41" s="451"/>
      <c r="J41" s="143" t="s">
        <v>19</v>
      </c>
      <c r="K41" s="182" t="s">
        <v>279</v>
      </c>
      <c r="L41" s="32" t="s">
        <v>278</v>
      </c>
      <c r="M41" s="188" t="s">
        <v>12</v>
      </c>
      <c r="N41" s="188">
        <v>13</v>
      </c>
      <c r="O41" s="188">
        <v>14</v>
      </c>
      <c r="P41" s="188">
        <v>15</v>
      </c>
      <c r="Q41" s="188" t="s">
        <v>19</v>
      </c>
      <c r="R41" s="177"/>
    </row>
    <row r="42" spans="1:18" s="178" customFormat="1" x14ac:dyDescent="0.2">
      <c r="A42" s="454"/>
      <c r="B42" s="455"/>
      <c r="C42" s="450"/>
      <c r="D42" s="456"/>
      <c r="E42" s="32" t="s">
        <v>14</v>
      </c>
      <c r="F42" s="31">
        <v>20</v>
      </c>
      <c r="G42" s="31">
        <v>22.2</v>
      </c>
      <c r="H42" s="94">
        <f>ROUND(G42*Lapas1!$A$1,1)</f>
        <v>24.2</v>
      </c>
      <c r="I42" s="94">
        <f>ROUND(H42*Lapas1!$A$2,1)</f>
        <v>27.3</v>
      </c>
      <c r="J42" s="191"/>
      <c r="K42" s="191"/>
      <c r="L42" s="192"/>
      <c r="M42" s="187"/>
      <c r="N42" s="24"/>
      <c r="O42" s="187"/>
      <c r="P42" s="187"/>
      <c r="Q42" s="187"/>
      <c r="R42" s="177"/>
    </row>
    <row r="43" spans="1:18" s="178" customFormat="1" x14ac:dyDescent="0.2">
      <c r="A43" s="454"/>
      <c r="B43" s="455"/>
      <c r="C43" s="450"/>
      <c r="D43" s="456"/>
      <c r="E43" s="29" t="s">
        <v>22</v>
      </c>
      <c r="F43" s="17">
        <f>SUM(F42:F42)</f>
        <v>20</v>
      </c>
      <c r="G43" s="28">
        <f>SUM(G42:G42)</f>
        <v>22.2</v>
      </c>
      <c r="H43" s="17">
        <f>SUM(H42:H42)</f>
        <v>24.2</v>
      </c>
      <c r="I43" s="17">
        <f>SUM(I42:I42)</f>
        <v>27.3</v>
      </c>
      <c r="J43" s="191"/>
      <c r="K43" s="191"/>
      <c r="L43" s="192"/>
      <c r="M43" s="187"/>
      <c r="N43" s="24"/>
      <c r="O43" s="187"/>
      <c r="P43" s="187"/>
      <c r="Q43" s="187"/>
      <c r="R43" s="42">
        <f>(G43-F43)/F43</f>
        <v>0.10999999999999996</v>
      </c>
    </row>
    <row r="44" spans="1:18" s="178" customFormat="1" ht="13.5" x14ac:dyDescent="0.2">
      <c r="A44" s="454" t="s">
        <v>0</v>
      </c>
      <c r="B44" s="455" t="s">
        <v>10</v>
      </c>
      <c r="C44" s="449" t="s">
        <v>10</v>
      </c>
      <c r="D44" s="456" t="s">
        <v>21</v>
      </c>
      <c r="E44" s="451" t="s">
        <v>277</v>
      </c>
      <c r="F44" s="451"/>
      <c r="G44" s="451"/>
      <c r="H44" s="451"/>
      <c r="I44" s="451"/>
      <c r="J44" s="143" t="s">
        <v>19</v>
      </c>
      <c r="K44" s="182" t="s">
        <v>276</v>
      </c>
      <c r="L44" s="32" t="s">
        <v>275</v>
      </c>
      <c r="M44" s="188" t="s">
        <v>35</v>
      </c>
      <c r="N44" s="188">
        <v>15</v>
      </c>
      <c r="O44" s="188">
        <v>15</v>
      </c>
      <c r="P44" s="188">
        <v>15</v>
      </c>
      <c r="Q44" s="188" t="s">
        <v>19</v>
      </c>
      <c r="R44" s="177"/>
    </row>
    <row r="45" spans="1:18" s="178" customFormat="1" x14ac:dyDescent="0.2">
      <c r="A45" s="454"/>
      <c r="B45" s="455"/>
      <c r="C45" s="449"/>
      <c r="D45" s="456"/>
      <c r="E45" s="32" t="s">
        <v>14</v>
      </c>
      <c r="F45" s="31">
        <v>30</v>
      </c>
      <c r="G45" s="31">
        <v>33</v>
      </c>
      <c r="H45" s="94">
        <f>ROUND(G45*Lapas1!$A$1,1)</f>
        <v>36</v>
      </c>
      <c r="I45" s="94">
        <f>ROUND(H45*Lapas1!$A$2,1)</f>
        <v>40.700000000000003</v>
      </c>
      <c r="J45" s="191"/>
      <c r="K45" s="191"/>
      <c r="L45" s="192"/>
      <c r="M45" s="187"/>
      <c r="N45" s="24"/>
      <c r="O45" s="187"/>
      <c r="P45" s="187"/>
      <c r="Q45" s="187"/>
      <c r="R45" s="177"/>
    </row>
    <row r="46" spans="1:18" s="178" customFormat="1" x14ac:dyDescent="0.2">
      <c r="A46" s="454"/>
      <c r="B46" s="455"/>
      <c r="C46" s="449"/>
      <c r="D46" s="456"/>
      <c r="E46" s="29" t="s">
        <v>22</v>
      </c>
      <c r="F46" s="17">
        <f>SUM(F45:F45)</f>
        <v>30</v>
      </c>
      <c r="G46" s="28">
        <f>SUM(G45:G45)</f>
        <v>33</v>
      </c>
      <c r="H46" s="17">
        <f>SUM(H45:H45)</f>
        <v>36</v>
      </c>
      <c r="I46" s="17">
        <f>SUM(I45:I45)</f>
        <v>40.700000000000003</v>
      </c>
      <c r="J46" s="191"/>
      <c r="K46" s="190"/>
      <c r="L46" s="192"/>
      <c r="M46" s="189"/>
      <c r="N46" s="24"/>
      <c r="O46" s="189"/>
      <c r="P46" s="189"/>
      <c r="Q46" s="189"/>
      <c r="R46" s="42">
        <f>(G46-F46)/F46</f>
        <v>0.1</v>
      </c>
    </row>
    <row r="47" spans="1:18" s="178" customFormat="1" x14ac:dyDescent="0.2">
      <c r="A47" s="142" t="s">
        <v>0</v>
      </c>
      <c r="B47" s="149" t="s">
        <v>10</v>
      </c>
      <c r="C47" s="144"/>
      <c r="D47" s="144" t="s">
        <v>31</v>
      </c>
      <c r="E47" s="41" t="s">
        <v>238</v>
      </c>
      <c r="F47" s="39">
        <f>F43+F46</f>
        <v>50</v>
      </c>
      <c r="G47" s="40">
        <f>G43+G46</f>
        <v>55.2</v>
      </c>
      <c r="H47" s="39">
        <f>H43+H46</f>
        <v>60.2</v>
      </c>
      <c r="I47" s="39">
        <f>I43+I46</f>
        <v>68</v>
      </c>
      <c r="J47" s="147"/>
      <c r="K47" s="180" t="s">
        <v>19</v>
      </c>
      <c r="L47" s="180" t="s">
        <v>19</v>
      </c>
      <c r="M47" s="180" t="s">
        <v>19</v>
      </c>
      <c r="N47" s="180" t="s">
        <v>19</v>
      </c>
      <c r="O47" s="180" t="s">
        <v>19</v>
      </c>
      <c r="P47" s="180" t="s">
        <v>19</v>
      </c>
      <c r="Q47" s="180" t="s">
        <v>19</v>
      </c>
      <c r="R47" s="177"/>
    </row>
    <row r="48" spans="1:18" s="178" customFormat="1" ht="25.5" x14ac:dyDescent="0.2">
      <c r="A48" s="142" t="s">
        <v>0</v>
      </c>
      <c r="B48" s="149" t="s">
        <v>24</v>
      </c>
      <c r="C48" s="146"/>
      <c r="D48" s="146" t="s">
        <v>18</v>
      </c>
      <c r="E48" s="457" t="s">
        <v>842</v>
      </c>
      <c r="F48" s="457"/>
      <c r="G48" s="457"/>
      <c r="H48" s="457"/>
      <c r="I48" s="457"/>
      <c r="J48" s="146" t="s">
        <v>269</v>
      </c>
      <c r="K48" s="179" t="s">
        <v>274</v>
      </c>
      <c r="L48" s="179" t="s">
        <v>273</v>
      </c>
      <c r="M48" s="180" t="s">
        <v>12</v>
      </c>
      <c r="N48" s="180">
        <v>2</v>
      </c>
      <c r="O48" s="180">
        <v>2</v>
      </c>
      <c r="P48" s="180">
        <v>2</v>
      </c>
      <c r="Q48" s="180" t="s">
        <v>266</v>
      </c>
      <c r="R48" s="177"/>
    </row>
    <row r="49" spans="1:18" s="178" customFormat="1" ht="13.5" x14ac:dyDescent="0.2">
      <c r="A49" s="454" t="s">
        <v>0</v>
      </c>
      <c r="B49" s="455" t="s">
        <v>24</v>
      </c>
      <c r="C49" s="450" t="s">
        <v>0</v>
      </c>
      <c r="D49" s="456" t="s">
        <v>21</v>
      </c>
      <c r="E49" s="451" t="s">
        <v>272</v>
      </c>
      <c r="F49" s="451"/>
      <c r="G49" s="451"/>
      <c r="H49" s="451"/>
      <c r="I49" s="451"/>
      <c r="J49" s="143" t="s">
        <v>19</v>
      </c>
      <c r="K49" s="182" t="s">
        <v>271</v>
      </c>
      <c r="L49" s="32" t="s">
        <v>270</v>
      </c>
      <c r="M49" s="188" t="s">
        <v>12</v>
      </c>
      <c r="N49" s="188">
        <v>2</v>
      </c>
      <c r="O49" s="188">
        <v>2</v>
      </c>
      <c r="P49" s="188">
        <v>2</v>
      </c>
      <c r="Q49" s="188" t="s">
        <v>19</v>
      </c>
      <c r="R49" s="177"/>
    </row>
    <row r="50" spans="1:18" s="178" customFormat="1" x14ac:dyDescent="0.2">
      <c r="A50" s="454"/>
      <c r="B50" s="455"/>
      <c r="C50" s="450"/>
      <c r="D50" s="456"/>
      <c r="E50" s="32" t="s">
        <v>14</v>
      </c>
      <c r="F50" s="31">
        <v>46.5</v>
      </c>
      <c r="G50" s="31">
        <v>45</v>
      </c>
      <c r="H50" s="94">
        <f>ROUND(G50*Lapas1!$A$1,1)</f>
        <v>49.1</v>
      </c>
      <c r="I50" s="94">
        <f>ROUND(H50*Lapas1!$A$2,1)</f>
        <v>55.5</v>
      </c>
      <c r="J50" s="191"/>
      <c r="K50" s="191"/>
      <c r="L50" s="192"/>
      <c r="M50" s="187"/>
      <c r="N50" s="24"/>
      <c r="O50" s="187"/>
      <c r="P50" s="187"/>
      <c r="Q50" s="187"/>
      <c r="R50" s="177"/>
    </row>
    <row r="51" spans="1:18" s="178" customFormat="1" x14ac:dyDescent="0.2">
      <c r="A51" s="454"/>
      <c r="B51" s="455"/>
      <c r="C51" s="450"/>
      <c r="D51" s="456"/>
      <c r="E51" s="29" t="s">
        <v>22</v>
      </c>
      <c r="F51" s="17">
        <f>SUM(F50:F50)</f>
        <v>46.5</v>
      </c>
      <c r="G51" s="28">
        <f>SUM(G50:G50)</f>
        <v>45</v>
      </c>
      <c r="H51" s="17">
        <f>SUM(H50:H50)</f>
        <v>49.1</v>
      </c>
      <c r="I51" s="17">
        <f>SUM(I50:I50)</f>
        <v>55.5</v>
      </c>
      <c r="J51" s="191"/>
      <c r="K51" s="191"/>
      <c r="L51" s="192"/>
      <c r="M51" s="187"/>
      <c r="N51" s="24"/>
      <c r="O51" s="187"/>
      <c r="P51" s="187"/>
      <c r="Q51" s="187"/>
      <c r="R51" s="42">
        <f>(G51-F51)/F51</f>
        <v>-3.2258064516129031E-2</v>
      </c>
    </row>
    <row r="52" spans="1:18" s="178" customFormat="1" ht="13.5" x14ac:dyDescent="0.2">
      <c r="A52" s="454" t="s">
        <v>0</v>
      </c>
      <c r="B52" s="455" t="s">
        <v>24</v>
      </c>
      <c r="C52" s="449" t="s">
        <v>10</v>
      </c>
      <c r="D52" s="456" t="s">
        <v>78</v>
      </c>
      <c r="E52" s="451" t="s">
        <v>837</v>
      </c>
      <c r="F52" s="451"/>
      <c r="G52" s="451"/>
      <c r="H52" s="451"/>
      <c r="I52" s="451"/>
      <c r="J52" s="143" t="s">
        <v>269</v>
      </c>
      <c r="K52" s="182" t="s">
        <v>268</v>
      </c>
      <c r="L52" s="32" t="s">
        <v>267</v>
      </c>
      <c r="M52" s="188" t="s">
        <v>12</v>
      </c>
      <c r="N52" s="188">
        <v>15</v>
      </c>
      <c r="O52" s="188">
        <v>15</v>
      </c>
      <c r="P52" s="188">
        <v>15</v>
      </c>
      <c r="Q52" s="188" t="s">
        <v>266</v>
      </c>
      <c r="R52" s="177"/>
    </row>
    <row r="53" spans="1:18" s="178" customFormat="1" x14ac:dyDescent="0.2">
      <c r="A53" s="454"/>
      <c r="B53" s="455"/>
      <c r="C53" s="449"/>
      <c r="D53" s="456"/>
      <c r="E53" s="32" t="s">
        <v>14</v>
      </c>
      <c r="F53" s="31">
        <v>72.7</v>
      </c>
      <c r="G53" s="31">
        <v>60.8</v>
      </c>
      <c r="H53" s="94">
        <f>ROUND(G53*Lapas1!$A$1,1)</f>
        <v>66.3</v>
      </c>
      <c r="I53" s="94">
        <f>ROUND(H53*Lapas1!$A$2,1)</f>
        <v>74.900000000000006</v>
      </c>
      <c r="J53" s="191"/>
      <c r="K53" s="191"/>
      <c r="L53" s="192"/>
      <c r="M53" s="187"/>
      <c r="N53" s="24"/>
      <c r="O53" s="187"/>
      <c r="P53" s="187"/>
      <c r="Q53" s="187"/>
      <c r="R53" s="177"/>
    </row>
    <row r="54" spans="1:18" s="178" customFormat="1" x14ac:dyDescent="0.2">
      <c r="A54" s="454"/>
      <c r="B54" s="455"/>
      <c r="C54" s="449"/>
      <c r="D54" s="456"/>
      <c r="E54" s="32" t="s">
        <v>15</v>
      </c>
      <c r="F54" s="31">
        <v>22.713999999999999</v>
      </c>
      <c r="G54" s="31"/>
      <c r="H54" s="94">
        <f>ROUND(G54*Lapas1!$A$1,1)</f>
        <v>0</v>
      </c>
      <c r="I54" s="94">
        <f>ROUND(H54*Lapas1!$A$2,1)</f>
        <v>0</v>
      </c>
      <c r="J54" s="191"/>
      <c r="K54" s="191"/>
      <c r="L54" s="192"/>
      <c r="M54" s="187"/>
      <c r="N54" s="24"/>
      <c r="O54" s="187"/>
      <c r="P54" s="187"/>
      <c r="Q54" s="187"/>
      <c r="R54" s="177"/>
    </row>
    <row r="55" spans="1:18" s="178" customFormat="1" x14ac:dyDescent="0.2">
      <c r="A55" s="454"/>
      <c r="B55" s="455"/>
      <c r="C55" s="449"/>
      <c r="D55" s="456"/>
      <c r="E55" s="29" t="s">
        <v>22</v>
      </c>
      <c r="F55" s="17">
        <f>SUM(F53:F54)</f>
        <v>95.414000000000001</v>
      </c>
      <c r="G55" s="28">
        <f>SUM(G53:G54)</f>
        <v>60.8</v>
      </c>
      <c r="H55" s="17">
        <f>SUM(H53:H54)</f>
        <v>66.3</v>
      </c>
      <c r="I55" s="17">
        <f>SUM(I53:I54)</f>
        <v>74.900000000000006</v>
      </c>
      <c r="J55" s="191"/>
      <c r="K55" s="191"/>
      <c r="L55" s="192"/>
      <c r="M55" s="187"/>
      <c r="N55" s="24"/>
      <c r="O55" s="187"/>
      <c r="P55" s="187"/>
      <c r="Q55" s="187"/>
      <c r="R55" s="42">
        <f>(G55-F55)/F55</f>
        <v>-0.3627769509715556</v>
      </c>
    </row>
    <row r="56" spans="1:18" s="178" customFormat="1" ht="13.5" x14ac:dyDescent="0.2">
      <c r="A56" s="454" t="s">
        <v>0</v>
      </c>
      <c r="B56" s="455" t="s">
        <v>24</v>
      </c>
      <c r="C56" s="449" t="s">
        <v>24</v>
      </c>
      <c r="D56" s="456" t="s">
        <v>21</v>
      </c>
      <c r="E56" s="451" t="s">
        <v>265</v>
      </c>
      <c r="F56" s="451"/>
      <c r="G56" s="451"/>
      <c r="H56" s="451"/>
      <c r="I56" s="451"/>
      <c r="J56" s="143" t="s">
        <v>19</v>
      </c>
      <c r="K56" s="182" t="s">
        <v>264</v>
      </c>
      <c r="L56" s="32" t="s">
        <v>263</v>
      </c>
      <c r="M56" s="188" t="s">
        <v>12</v>
      </c>
      <c r="N56" s="188">
        <v>1</v>
      </c>
      <c r="O56" s="188">
        <v>1</v>
      </c>
      <c r="P56" s="188">
        <v>1</v>
      </c>
      <c r="Q56" s="188" t="s">
        <v>19</v>
      </c>
      <c r="R56" s="177"/>
    </row>
    <row r="57" spans="1:18" s="178" customFormat="1" x14ac:dyDescent="0.2">
      <c r="A57" s="454"/>
      <c r="B57" s="455"/>
      <c r="C57" s="449"/>
      <c r="D57" s="456"/>
      <c r="E57" s="32" t="s">
        <v>14</v>
      </c>
      <c r="F57" s="31">
        <v>35</v>
      </c>
      <c r="G57" s="31">
        <v>35</v>
      </c>
      <c r="H57" s="94">
        <f>ROUND(G57*Lapas1!$A$1,1)</f>
        <v>38.200000000000003</v>
      </c>
      <c r="I57" s="94">
        <f>ROUND(H57*Lapas1!$A$2,1)</f>
        <v>43.2</v>
      </c>
      <c r="J57" s="191"/>
      <c r="K57" s="191"/>
      <c r="L57" s="189"/>
      <c r="M57" s="189"/>
      <c r="N57" s="24"/>
      <c r="O57" s="24"/>
      <c r="P57" s="189"/>
      <c r="Q57" s="189"/>
      <c r="R57" s="177"/>
    </row>
    <row r="58" spans="1:18" s="178" customFormat="1" x14ac:dyDescent="0.2">
      <c r="A58" s="454"/>
      <c r="B58" s="455"/>
      <c r="C58" s="449"/>
      <c r="D58" s="456"/>
      <c r="E58" s="29" t="s">
        <v>22</v>
      </c>
      <c r="F58" s="17">
        <f>SUM(F57:F57)</f>
        <v>35</v>
      </c>
      <c r="G58" s="28">
        <f>SUM(G57:G57)</f>
        <v>35</v>
      </c>
      <c r="H58" s="17">
        <f>SUM(H57:H57)</f>
        <v>38.200000000000003</v>
      </c>
      <c r="I58" s="17">
        <f>SUM(I57:I57)</f>
        <v>43.2</v>
      </c>
      <c r="J58" s="191"/>
      <c r="K58" s="191"/>
      <c r="L58" s="189"/>
      <c r="M58" s="189"/>
      <c r="N58" s="24"/>
      <c r="O58" s="24"/>
      <c r="P58" s="189"/>
      <c r="Q58" s="189"/>
      <c r="R58" s="42">
        <f>(G58-F58)/F58</f>
        <v>0</v>
      </c>
    </row>
    <row r="59" spans="1:18" s="178" customFormat="1" ht="13.5" x14ac:dyDescent="0.2">
      <c r="A59" s="454" t="s">
        <v>0</v>
      </c>
      <c r="B59" s="455" t="s">
        <v>24</v>
      </c>
      <c r="C59" s="449" t="s">
        <v>25</v>
      </c>
      <c r="D59" s="456" t="s">
        <v>21</v>
      </c>
      <c r="E59" s="466" t="s">
        <v>955</v>
      </c>
      <c r="F59" s="466"/>
      <c r="G59" s="466"/>
      <c r="H59" s="466"/>
      <c r="I59" s="466"/>
      <c r="J59" s="143" t="s">
        <v>19</v>
      </c>
      <c r="K59" s="182" t="s">
        <v>956</v>
      </c>
      <c r="L59" s="380" t="s">
        <v>452</v>
      </c>
      <c r="M59" s="188" t="s">
        <v>12</v>
      </c>
      <c r="N59" s="188">
        <v>2</v>
      </c>
      <c r="O59" s="188">
        <v>2</v>
      </c>
      <c r="P59" s="188">
        <v>2</v>
      </c>
      <c r="Q59" s="188" t="s">
        <v>19</v>
      </c>
      <c r="R59" s="177"/>
    </row>
    <row r="60" spans="1:18" s="178" customFormat="1" x14ac:dyDescent="0.2">
      <c r="A60" s="454"/>
      <c r="B60" s="455"/>
      <c r="C60" s="449"/>
      <c r="D60" s="456"/>
      <c r="E60" s="32" t="s">
        <v>14</v>
      </c>
      <c r="F60" s="31"/>
      <c r="G60" s="31">
        <v>2</v>
      </c>
      <c r="H60" s="94">
        <f>ROUND(G60*Lapas1!$A$1,1)</f>
        <v>2.2000000000000002</v>
      </c>
      <c r="I60" s="94">
        <f>ROUND(H60*Lapas1!$A$2,1)</f>
        <v>2.5</v>
      </c>
      <c r="J60" s="191"/>
      <c r="K60" s="191"/>
      <c r="L60" s="189"/>
      <c r="M60" s="189"/>
      <c r="N60" s="24"/>
      <c r="O60" s="24"/>
      <c r="P60" s="189"/>
      <c r="Q60" s="189"/>
      <c r="R60" s="177"/>
    </row>
    <row r="61" spans="1:18" s="178" customFormat="1" x14ac:dyDescent="0.2">
      <c r="A61" s="454"/>
      <c r="B61" s="455"/>
      <c r="C61" s="449"/>
      <c r="D61" s="456"/>
      <c r="E61" s="29" t="s">
        <v>22</v>
      </c>
      <c r="F61" s="17">
        <f>SUM(F60:F60)</f>
        <v>0</v>
      </c>
      <c r="G61" s="28">
        <f>SUM(G60:G60)</f>
        <v>2</v>
      </c>
      <c r="H61" s="17">
        <f>SUM(H60:H60)</f>
        <v>2.2000000000000002</v>
      </c>
      <c r="I61" s="17">
        <f>SUM(I60:I60)</f>
        <v>2.5</v>
      </c>
      <c r="J61" s="191"/>
      <c r="K61" s="191"/>
      <c r="L61" s="189"/>
      <c r="M61" s="189"/>
      <c r="N61" s="24"/>
      <c r="O61" s="24"/>
      <c r="P61" s="189"/>
      <c r="Q61" s="189"/>
      <c r="R61" s="42" t="e">
        <f>(G61-F61)/F61</f>
        <v>#DIV/0!</v>
      </c>
    </row>
    <row r="62" spans="1:18" s="178" customFormat="1" x14ac:dyDescent="0.2">
      <c r="A62" s="142" t="s">
        <v>0</v>
      </c>
      <c r="B62" s="149" t="s">
        <v>24</v>
      </c>
      <c r="C62" s="144"/>
      <c r="D62" s="144" t="s">
        <v>18</v>
      </c>
      <c r="E62" s="41" t="s">
        <v>238</v>
      </c>
      <c r="F62" s="39">
        <f>F51+F55+F58+F61</f>
        <v>176.91399999999999</v>
      </c>
      <c r="G62" s="39">
        <f t="shared" ref="G62:I62" si="0">G51+G55+G58+G61</f>
        <v>142.80000000000001</v>
      </c>
      <c r="H62" s="39">
        <f t="shared" si="0"/>
        <v>155.80000000000001</v>
      </c>
      <c r="I62" s="39">
        <f t="shared" si="0"/>
        <v>176.10000000000002</v>
      </c>
      <c r="J62" s="147"/>
      <c r="K62" s="180"/>
      <c r="L62" s="180"/>
      <c r="M62" s="180"/>
      <c r="N62" s="180"/>
      <c r="O62" s="180"/>
      <c r="P62" s="180"/>
      <c r="Q62" s="180"/>
      <c r="R62" s="177"/>
    </row>
    <row r="63" spans="1:18" s="178" customFormat="1" x14ac:dyDescent="0.2">
      <c r="A63" s="194" t="s">
        <v>0</v>
      </c>
      <c r="B63" s="38"/>
      <c r="C63" s="38"/>
      <c r="D63" s="38"/>
      <c r="E63" s="37" t="s">
        <v>239</v>
      </c>
      <c r="F63" s="35">
        <f>F39+F47+F62</f>
        <v>10170.914000000001</v>
      </c>
      <c r="G63" s="36">
        <f>G39+G47+G62</f>
        <v>10991.56</v>
      </c>
      <c r="H63" s="35">
        <f>H39+H47+H62</f>
        <v>15054.7</v>
      </c>
      <c r="I63" s="35">
        <f>I39+I47+I62</f>
        <v>13839.500000000002</v>
      </c>
      <c r="J63" s="38"/>
      <c r="K63" s="195"/>
      <c r="L63" s="195"/>
      <c r="M63" s="195"/>
      <c r="N63" s="195"/>
      <c r="O63" s="195"/>
      <c r="P63" s="195"/>
      <c r="Q63" s="195"/>
      <c r="R63" s="177"/>
    </row>
    <row r="64" spans="1:18" s="178" customFormat="1" x14ac:dyDescent="0.2">
      <c r="A64" s="237" t="s">
        <v>10</v>
      </c>
      <c r="B64" s="237"/>
      <c r="C64" s="237"/>
      <c r="D64" s="237"/>
      <c r="E64" s="452" t="s">
        <v>262</v>
      </c>
      <c r="F64" s="452"/>
      <c r="G64" s="452"/>
      <c r="H64" s="452"/>
      <c r="I64" s="452"/>
      <c r="J64" s="452"/>
      <c r="K64" s="452"/>
      <c r="L64" s="452"/>
      <c r="M64" s="452"/>
      <c r="N64" s="452"/>
      <c r="O64" s="452"/>
      <c r="P64" s="452"/>
      <c r="Q64" s="452"/>
      <c r="R64" s="177"/>
    </row>
    <row r="65" spans="1:19" s="178" customFormat="1" ht="25.5" x14ac:dyDescent="0.2">
      <c r="A65" s="237" t="s">
        <v>10</v>
      </c>
      <c r="B65" s="149" t="s">
        <v>0</v>
      </c>
      <c r="C65" s="149"/>
      <c r="D65" s="149" t="s">
        <v>18</v>
      </c>
      <c r="E65" s="453" t="s">
        <v>261</v>
      </c>
      <c r="F65" s="453"/>
      <c r="G65" s="453"/>
      <c r="H65" s="453"/>
      <c r="I65" s="453"/>
      <c r="J65" s="147" t="s">
        <v>253</v>
      </c>
      <c r="K65" s="179" t="s">
        <v>260</v>
      </c>
      <c r="L65" s="179" t="s">
        <v>259</v>
      </c>
      <c r="M65" s="180" t="s">
        <v>11</v>
      </c>
      <c r="N65" s="180">
        <v>90</v>
      </c>
      <c r="O65" s="180">
        <v>90</v>
      </c>
      <c r="P65" s="180">
        <v>90</v>
      </c>
      <c r="Q65" s="180" t="s">
        <v>1014</v>
      </c>
      <c r="R65" s="177"/>
    </row>
    <row r="66" spans="1:19" s="178" customFormat="1" ht="25.5" x14ac:dyDescent="0.2">
      <c r="A66" s="447" t="s">
        <v>10</v>
      </c>
      <c r="B66" s="448" t="s">
        <v>0</v>
      </c>
      <c r="C66" s="449" t="s">
        <v>0</v>
      </c>
      <c r="D66" s="450" t="s">
        <v>255</v>
      </c>
      <c r="E66" s="451" t="s">
        <v>258</v>
      </c>
      <c r="F66" s="451"/>
      <c r="G66" s="451"/>
      <c r="H66" s="451"/>
      <c r="I66" s="451"/>
      <c r="J66" s="143" t="s">
        <v>253</v>
      </c>
      <c r="K66" s="182" t="s">
        <v>257</v>
      </c>
      <c r="L66" s="182" t="s">
        <v>256</v>
      </c>
      <c r="M66" s="188" t="s">
        <v>12</v>
      </c>
      <c r="N66" s="188">
        <v>2</v>
      </c>
      <c r="O66" s="188">
        <v>2</v>
      </c>
      <c r="P66" s="188">
        <v>2</v>
      </c>
      <c r="Q66" s="188" t="s">
        <v>250</v>
      </c>
      <c r="R66" s="177"/>
    </row>
    <row r="67" spans="1:19" s="178" customFormat="1" x14ac:dyDescent="0.2">
      <c r="A67" s="447"/>
      <c r="B67" s="448"/>
      <c r="C67" s="449"/>
      <c r="D67" s="450"/>
      <c r="E67" s="32" t="s">
        <v>14</v>
      </c>
      <c r="F67" s="30"/>
      <c r="G67" s="31"/>
      <c r="H67" s="30"/>
      <c r="I67" s="30"/>
      <c r="J67" s="191"/>
      <c r="K67" s="191"/>
      <c r="L67" s="189"/>
      <c r="M67" s="187"/>
      <c r="N67" s="24"/>
      <c r="O67" s="24"/>
      <c r="P67" s="187"/>
      <c r="Q67" s="187"/>
      <c r="R67" s="177"/>
    </row>
    <row r="68" spans="1:19" s="178" customFormat="1" x14ac:dyDescent="0.2">
      <c r="A68" s="447"/>
      <c r="B68" s="448"/>
      <c r="C68" s="449"/>
      <c r="D68" s="450"/>
      <c r="E68" s="29" t="s">
        <v>22</v>
      </c>
      <c r="F68" s="27">
        <v>0</v>
      </c>
      <c r="G68" s="28">
        <v>0</v>
      </c>
      <c r="H68" s="27">
        <v>0</v>
      </c>
      <c r="I68" s="27">
        <v>0</v>
      </c>
      <c r="J68" s="191"/>
      <c r="K68" s="191"/>
      <c r="L68" s="189"/>
      <c r="M68" s="187"/>
      <c r="N68" s="24"/>
      <c r="O68" s="24"/>
      <c r="P68" s="187"/>
      <c r="Q68" s="187"/>
      <c r="R68" s="23" t="s">
        <v>249</v>
      </c>
    </row>
    <row r="69" spans="1:19" s="178" customFormat="1" ht="25.5" x14ac:dyDescent="0.2">
      <c r="A69" s="447" t="s">
        <v>10</v>
      </c>
      <c r="B69" s="448" t="s">
        <v>0</v>
      </c>
      <c r="C69" s="449" t="s">
        <v>10</v>
      </c>
      <c r="D69" s="450" t="s">
        <v>255</v>
      </c>
      <c r="E69" s="451" t="s">
        <v>254</v>
      </c>
      <c r="F69" s="451"/>
      <c r="G69" s="451"/>
      <c r="H69" s="451"/>
      <c r="I69" s="451"/>
      <c r="J69" s="143" t="s">
        <v>253</v>
      </c>
      <c r="K69" s="182" t="s">
        <v>252</v>
      </c>
      <c r="L69" s="182" t="s">
        <v>251</v>
      </c>
      <c r="M69" s="188" t="s">
        <v>12</v>
      </c>
      <c r="N69" s="188">
        <v>1</v>
      </c>
      <c r="O69" s="188">
        <v>1</v>
      </c>
      <c r="P69" s="188">
        <v>1</v>
      </c>
      <c r="Q69" s="188" t="s">
        <v>250</v>
      </c>
      <c r="R69" s="177"/>
    </row>
    <row r="70" spans="1:19" s="178" customFormat="1" x14ac:dyDescent="0.2">
      <c r="A70" s="447"/>
      <c r="B70" s="448"/>
      <c r="C70" s="449"/>
      <c r="D70" s="450"/>
      <c r="E70" s="32" t="s">
        <v>14</v>
      </c>
      <c r="F70" s="30"/>
      <c r="G70" s="31"/>
      <c r="H70" s="30"/>
      <c r="I70" s="30"/>
      <c r="J70" s="191"/>
      <c r="K70" s="191"/>
      <c r="L70" s="189"/>
      <c r="M70" s="187"/>
      <c r="N70" s="24"/>
      <c r="O70" s="24"/>
      <c r="P70" s="187"/>
      <c r="Q70" s="187"/>
      <c r="R70" s="177"/>
    </row>
    <row r="71" spans="1:19" s="178" customFormat="1" x14ac:dyDescent="0.2">
      <c r="A71" s="447"/>
      <c r="B71" s="448"/>
      <c r="C71" s="449"/>
      <c r="D71" s="450"/>
      <c r="E71" s="29" t="s">
        <v>22</v>
      </c>
      <c r="F71" s="27">
        <f>F70</f>
        <v>0</v>
      </c>
      <c r="G71" s="28">
        <f>G70</f>
        <v>0</v>
      </c>
      <c r="H71" s="27">
        <f>H70</f>
        <v>0</v>
      </c>
      <c r="I71" s="27">
        <f>I70</f>
        <v>0</v>
      </c>
      <c r="J71" s="191"/>
      <c r="K71" s="191"/>
      <c r="L71" s="189"/>
      <c r="M71" s="189"/>
      <c r="N71" s="24"/>
      <c r="O71" s="24"/>
      <c r="P71" s="189"/>
      <c r="Q71" s="189"/>
      <c r="R71" s="23" t="s">
        <v>249</v>
      </c>
    </row>
    <row r="72" spans="1:19" s="178" customFormat="1" x14ac:dyDescent="0.2">
      <c r="A72" s="237" t="s">
        <v>10</v>
      </c>
      <c r="B72" s="149" t="s">
        <v>0</v>
      </c>
      <c r="C72" s="193"/>
      <c r="D72" s="193" t="s">
        <v>18</v>
      </c>
      <c r="E72" s="196" t="s">
        <v>238</v>
      </c>
      <c r="F72" s="197">
        <f>F68+F71</f>
        <v>0</v>
      </c>
      <c r="G72" s="332">
        <f>G68+G71</f>
        <v>0</v>
      </c>
      <c r="H72" s="197">
        <f>H68+H71</f>
        <v>0</v>
      </c>
      <c r="I72" s="197">
        <f>I68+I71</f>
        <v>0</v>
      </c>
      <c r="J72" s="147"/>
      <c r="K72" s="180"/>
      <c r="L72" s="180"/>
      <c r="M72" s="180"/>
      <c r="N72" s="180"/>
      <c r="O72" s="180"/>
      <c r="P72" s="180"/>
      <c r="Q72" s="180"/>
      <c r="R72" s="177"/>
    </row>
    <row r="73" spans="1:19" s="178" customFormat="1" x14ac:dyDescent="0.2">
      <c r="A73" s="237" t="s">
        <v>10</v>
      </c>
      <c r="B73" s="198"/>
      <c r="C73" s="198"/>
      <c r="D73" s="198"/>
      <c r="E73" s="199" t="s">
        <v>239</v>
      </c>
      <c r="F73" s="200">
        <f>F72</f>
        <v>0</v>
      </c>
      <c r="G73" s="333">
        <f>G72</f>
        <v>0</v>
      </c>
      <c r="H73" s="200">
        <f>H72</f>
        <v>0</v>
      </c>
      <c r="I73" s="200">
        <f>I72</f>
        <v>0</v>
      </c>
      <c r="J73" s="38"/>
      <c r="K73" s="195"/>
      <c r="L73" s="195"/>
      <c r="M73" s="195"/>
      <c r="N73" s="195"/>
      <c r="O73" s="195"/>
      <c r="P73" s="195"/>
      <c r="Q73" s="195"/>
      <c r="R73" s="177"/>
    </row>
    <row r="74" spans="1:19" s="178" customFormat="1" x14ac:dyDescent="0.2">
      <c r="A74" s="22"/>
      <c r="B74" s="22"/>
      <c r="C74" s="22"/>
      <c r="D74" s="22"/>
      <c r="E74" s="22" t="s">
        <v>3</v>
      </c>
      <c r="F74" s="20">
        <f>F63+F73</f>
        <v>10170.914000000001</v>
      </c>
      <c r="G74" s="21">
        <f>G63+G73</f>
        <v>10991.56</v>
      </c>
      <c r="H74" s="20">
        <f>H63+H73</f>
        <v>15054.7</v>
      </c>
      <c r="I74" s="20">
        <f>I63+I73</f>
        <v>13839.500000000002</v>
      </c>
      <c r="J74" s="72"/>
      <c r="K74" s="201"/>
      <c r="L74" s="201"/>
      <c r="M74" s="201"/>
      <c r="N74" s="201"/>
      <c r="O74" s="201"/>
      <c r="P74" s="201"/>
      <c r="Q74" s="201"/>
      <c r="R74" s="177"/>
    </row>
    <row r="75" spans="1:19" ht="39.75" customHeight="1" x14ac:dyDescent="0.2">
      <c r="A75" s="462" t="s">
        <v>790</v>
      </c>
      <c r="B75" s="462"/>
      <c r="C75" s="462"/>
      <c r="D75" s="462"/>
      <c r="E75" s="462"/>
      <c r="F75" s="462"/>
      <c r="G75" s="462"/>
      <c r="H75" s="462"/>
      <c r="I75" s="462"/>
      <c r="J75" s="462"/>
      <c r="K75" s="462"/>
    </row>
    <row r="76" spans="1:19" ht="27.75" customHeight="1" x14ac:dyDescent="0.2">
      <c r="A76" s="416" t="s">
        <v>795</v>
      </c>
      <c r="B76" s="416"/>
      <c r="C76" s="416"/>
      <c r="D76" s="416"/>
      <c r="E76" s="416"/>
      <c r="F76" s="416"/>
      <c r="G76" s="416"/>
      <c r="H76" s="416"/>
      <c r="I76" s="416"/>
      <c r="J76" s="416"/>
      <c r="K76" s="416"/>
    </row>
    <row r="77" spans="1:19" x14ac:dyDescent="0.2">
      <c r="A77" s="19"/>
      <c r="L77" s="18"/>
      <c r="M77" s="18"/>
      <c r="N77" s="18"/>
      <c r="O77" s="18"/>
      <c r="P77" s="18"/>
      <c r="Q77" s="18"/>
      <c r="R77" s="18"/>
      <c r="S77" s="18"/>
    </row>
    <row r="78" spans="1:19" x14ac:dyDescent="0.2">
      <c r="A78" s="463" t="s">
        <v>4</v>
      </c>
      <c r="B78" s="463"/>
      <c r="C78" s="463"/>
      <c r="D78" s="463"/>
      <c r="E78" s="463"/>
      <c r="F78" s="463"/>
      <c r="G78" s="463"/>
      <c r="H78" s="463"/>
      <c r="I78" s="463"/>
      <c r="J78" s="18"/>
      <c r="K78" s="18"/>
    </row>
    <row r="79" spans="1:19" ht="28.5" customHeight="1" x14ac:dyDescent="0.2">
      <c r="A79" s="445" t="s">
        <v>13</v>
      </c>
      <c r="B79" s="445"/>
      <c r="C79" s="445"/>
      <c r="D79" s="445"/>
      <c r="E79" s="71" t="s">
        <v>14</v>
      </c>
      <c r="F79" s="17">
        <f>F17+F24+F28+F34+F42+F45+F50+F53+F57+F67+F70+F20+F60</f>
        <v>1210.2</v>
      </c>
      <c r="G79" s="17">
        <f>G17+G24+G28+G34+G42+G45+G50+G53+G57+G67+G70+G20+G60</f>
        <v>960.4</v>
      </c>
      <c r="H79" s="17">
        <f>H17+H24+H28+H34+H42+H45+H50+H53+H57+H67+H70+H20+H60</f>
        <v>1015.3000000000001</v>
      </c>
      <c r="I79" s="17">
        <f>I17+I24+I28+I34+I42+I45+I50+I53+I57+I67+I70+I20+I60</f>
        <v>1578.5000000000002</v>
      </c>
    </row>
    <row r="80" spans="1:19" ht="28.5" customHeight="1" x14ac:dyDescent="0.2">
      <c r="A80" s="445" t="s">
        <v>248</v>
      </c>
      <c r="B80" s="445"/>
      <c r="C80" s="445"/>
      <c r="D80" s="445"/>
      <c r="E80" s="71" t="s">
        <v>15</v>
      </c>
      <c r="F80" s="17">
        <f>F35+F54</f>
        <v>602.41399999999999</v>
      </c>
      <c r="G80" s="17">
        <f t="shared" ref="G80:I80" si="1">G35+G54</f>
        <v>0</v>
      </c>
      <c r="H80" s="17">
        <f t="shared" si="1"/>
        <v>126.7</v>
      </c>
      <c r="I80" s="17">
        <f t="shared" si="1"/>
        <v>25.9</v>
      </c>
    </row>
    <row r="81" spans="1:17" ht="51" customHeight="1" x14ac:dyDescent="0.2">
      <c r="A81" s="445" t="s">
        <v>16</v>
      </c>
      <c r="B81" s="445"/>
      <c r="C81" s="445"/>
      <c r="D81" s="445"/>
      <c r="E81" s="71" t="s">
        <v>17</v>
      </c>
      <c r="F81" s="17"/>
      <c r="G81" s="28"/>
      <c r="H81" s="17"/>
      <c r="I81" s="17"/>
    </row>
    <row r="82" spans="1:17" ht="36" customHeight="1" x14ac:dyDescent="0.2">
      <c r="A82" s="445" t="s">
        <v>231</v>
      </c>
      <c r="B82" s="445"/>
      <c r="C82" s="445"/>
      <c r="D82" s="445"/>
      <c r="E82" s="71" t="s">
        <v>232</v>
      </c>
      <c r="F82" s="17"/>
      <c r="G82" s="28"/>
      <c r="H82" s="17"/>
      <c r="I82" s="17"/>
    </row>
    <row r="83" spans="1:17" ht="28.5" customHeight="1" x14ac:dyDescent="0.2">
      <c r="A83" s="445" t="s">
        <v>247</v>
      </c>
      <c r="B83" s="445"/>
      <c r="C83" s="445"/>
      <c r="D83" s="445"/>
      <c r="E83" s="71" t="s">
        <v>18</v>
      </c>
      <c r="F83" s="17">
        <f>F25+F29+F36</f>
        <v>3147</v>
      </c>
      <c r="G83" s="28">
        <f t="shared" ref="G83:I83" si="2">G25+G29+G36</f>
        <v>3887.2</v>
      </c>
      <c r="H83" s="17">
        <f t="shared" si="2"/>
        <v>5161.7999999999993</v>
      </c>
      <c r="I83" s="17">
        <f t="shared" si="2"/>
        <v>3999.2000000000003</v>
      </c>
    </row>
    <row r="84" spans="1:17" ht="13.9" customHeight="1" x14ac:dyDescent="0.2">
      <c r="A84" s="445" t="s">
        <v>169</v>
      </c>
      <c r="B84" s="445"/>
      <c r="C84" s="445"/>
      <c r="D84" s="445"/>
      <c r="E84" s="71" t="s">
        <v>162</v>
      </c>
      <c r="F84" s="17">
        <f>F30+F37+F21</f>
        <v>5211.3</v>
      </c>
      <c r="G84" s="28">
        <f>G30+G37+G21</f>
        <v>6143.96</v>
      </c>
      <c r="H84" s="17">
        <f>H30+H37+H21</f>
        <v>8750.9</v>
      </c>
      <c r="I84" s="17">
        <f>I30+I37+I21</f>
        <v>8235.9</v>
      </c>
    </row>
    <row r="85" spans="1:17" ht="27" customHeight="1" x14ac:dyDescent="0.2">
      <c r="A85" s="446" t="s">
        <v>3</v>
      </c>
      <c r="B85" s="446"/>
      <c r="C85" s="446"/>
      <c r="D85" s="446"/>
      <c r="E85" s="446"/>
      <c r="F85" s="51">
        <f>SUM(F79:F84)</f>
        <v>10170.914000000001</v>
      </c>
      <c r="G85" s="52">
        <f>SUM(G79:G84)</f>
        <v>10991.56</v>
      </c>
      <c r="H85" s="51">
        <f>SUM(H79:H84)</f>
        <v>15054.699999999999</v>
      </c>
      <c r="I85" s="51">
        <f>SUM(I79:I84)</f>
        <v>13839.5</v>
      </c>
    </row>
    <row r="86" spans="1:17" ht="13.15" customHeight="1" x14ac:dyDescent="0.2">
      <c r="A86" s="444" t="s">
        <v>7</v>
      </c>
      <c r="B86" s="444"/>
      <c r="C86" s="444"/>
      <c r="D86" s="444"/>
      <c r="E86" s="444"/>
      <c r="F86" s="16">
        <f>F31</f>
        <v>2816.8</v>
      </c>
      <c r="G86" s="56">
        <f>G31</f>
        <v>2965.8339999999998</v>
      </c>
      <c r="H86" s="16">
        <f>H31</f>
        <v>9548.6</v>
      </c>
      <c r="I86" s="16">
        <f>I31</f>
        <v>8346.6</v>
      </c>
    </row>
    <row r="87" spans="1:17" ht="13.9" customHeight="1" x14ac:dyDescent="0.2">
      <c r="A87" s="444" t="s">
        <v>5</v>
      </c>
      <c r="B87" s="444"/>
      <c r="C87" s="444"/>
      <c r="D87" s="444"/>
      <c r="E87" s="444"/>
      <c r="F87" s="16">
        <f>F55+F38+F31+F71+F68</f>
        <v>7448.2139999999999</v>
      </c>
      <c r="G87" s="56">
        <f>G55+G38+G31+G71+G68</f>
        <v>9208.17</v>
      </c>
      <c r="H87" s="16">
        <f>H55+H38+H31+H71+H68</f>
        <v>14860.100000000002</v>
      </c>
      <c r="I87" s="16">
        <f>I55+I38+I31+I71+I68</f>
        <v>13619.6</v>
      </c>
    </row>
    <row r="88" spans="1:17" x14ac:dyDescent="0.2">
      <c r="A88" s="444" t="s">
        <v>6</v>
      </c>
      <c r="B88" s="444"/>
      <c r="C88" s="444"/>
      <c r="D88" s="444"/>
      <c r="E88" s="444"/>
      <c r="F88" s="16">
        <f>F18+F26+F43+F46+F51+F58+F22+F61</f>
        <v>2722.7000000000003</v>
      </c>
      <c r="G88" s="16">
        <f t="shared" ref="G88:I88" si="3">G18+G26+G43+G46+G51+G58+G22+G61</f>
        <v>1783.39</v>
      </c>
      <c r="H88" s="16">
        <f t="shared" si="3"/>
        <v>194.59999999999997</v>
      </c>
      <c r="I88" s="16">
        <f t="shared" si="3"/>
        <v>219.89999999999998</v>
      </c>
    </row>
    <row r="89" spans="1:17" x14ac:dyDescent="0.2">
      <c r="D89" s="14"/>
      <c r="F89" s="14"/>
      <c r="G89" s="15"/>
      <c r="H89" s="11"/>
      <c r="I89" s="11"/>
    </row>
    <row r="90" spans="1:17" hidden="1" x14ac:dyDescent="0.2">
      <c r="D90" s="14"/>
      <c r="E90" s="9" t="s">
        <v>23</v>
      </c>
      <c r="F90" s="12">
        <f>F85-F74</f>
        <v>0</v>
      </c>
      <c r="G90" s="13">
        <f>G85-G74</f>
        <v>0</v>
      </c>
      <c r="H90" s="12">
        <f>H85-H74</f>
        <v>0</v>
      </c>
      <c r="I90" s="12">
        <f>I85-I74</f>
        <v>0</v>
      </c>
      <c r="Q90" s="10"/>
    </row>
    <row r="91" spans="1:17" hidden="1" x14ac:dyDescent="0.2">
      <c r="F91" s="129">
        <f>F87+F88-F74</f>
        <v>0</v>
      </c>
      <c r="G91" s="155">
        <f>G87+G88-G74</f>
        <v>0</v>
      </c>
      <c r="H91" s="129">
        <f>H87+H88-H74</f>
        <v>0</v>
      </c>
      <c r="I91" s="129">
        <f>I87+I88-I74</f>
        <v>0</v>
      </c>
      <c r="J91" s="11"/>
      <c r="K91" s="11"/>
    </row>
    <row r="92" spans="1:17" hidden="1" x14ac:dyDescent="0.2"/>
  </sheetData>
  <mergeCells count="100">
    <mergeCell ref="A59:A61"/>
    <mergeCell ref="B59:B61"/>
    <mergeCell ref="C59:C61"/>
    <mergeCell ref="D59:D61"/>
    <mergeCell ref="E59:I59"/>
    <mergeCell ref="A81:D81"/>
    <mergeCell ref="R11:R12"/>
    <mergeCell ref="H11:H12"/>
    <mergeCell ref="I11:I12"/>
    <mergeCell ref="A16:A18"/>
    <mergeCell ref="B16:B18"/>
    <mergeCell ref="C16:C18"/>
    <mergeCell ref="D16:D18"/>
    <mergeCell ref="Q11:Q12"/>
    <mergeCell ref="E15:I15"/>
    <mergeCell ref="E16:I16"/>
    <mergeCell ref="G11:G12"/>
    <mergeCell ref="F11:F12"/>
    <mergeCell ref="L11:M11"/>
    <mergeCell ref="A11:C11"/>
    <mergeCell ref="D11:D12"/>
    <mergeCell ref="A75:K75"/>
    <mergeCell ref="A76:K76"/>
    <mergeCell ref="A78:I78"/>
    <mergeCell ref="A79:D79"/>
    <mergeCell ref="A80:D80"/>
    <mergeCell ref="A10:P10"/>
    <mergeCell ref="A23:A26"/>
    <mergeCell ref="A32:A38"/>
    <mergeCell ref="D32:D38"/>
    <mergeCell ref="E32:I33"/>
    <mergeCell ref="J32:J33"/>
    <mergeCell ref="E14:Q14"/>
    <mergeCell ref="A19:A22"/>
    <mergeCell ref="D19:D22"/>
    <mergeCell ref="B19:B22"/>
    <mergeCell ref="C19:C22"/>
    <mergeCell ref="N11:P11"/>
    <mergeCell ref="J11:J12"/>
    <mergeCell ref="K11:K12"/>
    <mergeCell ref="E11:E12"/>
    <mergeCell ref="E19:I19"/>
    <mergeCell ref="A27:A31"/>
    <mergeCell ref="B27:B31"/>
    <mergeCell ref="C27:C31"/>
    <mergeCell ref="D27:D31"/>
    <mergeCell ref="E27:I27"/>
    <mergeCell ref="B23:B26"/>
    <mergeCell ref="C23:C26"/>
    <mergeCell ref="D23:D26"/>
    <mergeCell ref="E23:I23"/>
    <mergeCell ref="Q32:Q33"/>
    <mergeCell ref="B32:B38"/>
    <mergeCell ref="C32:C38"/>
    <mergeCell ref="E40:I40"/>
    <mergeCell ref="A41:A43"/>
    <mergeCell ref="B41:B43"/>
    <mergeCell ref="C41:C43"/>
    <mergeCell ref="D41:D43"/>
    <mergeCell ref="E41:I41"/>
    <mergeCell ref="A44:A46"/>
    <mergeCell ref="B44:B46"/>
    <mergeCell ref="C44:C46"/>
    <mergeCell ref="D44:D46"/>
    <mergeCell ref="E44:I44"/>
    <mergeCell ref="E48:I48"/>
    <mergeCell ref="A49:A51"/>
    <mergeCell ref="B49:B51"/>
    <mergeCell ref="C49:C51"/>
    <mergeCell ref="D49:D51"/>
    <mergeCell ref="E49:I49"/>
    <mergeCell ref="E52:I52"/>
    <mergeCell ref="A56:A58"/>
    <mergeCell ref="B56:B58"/>
    <mergeCell ref="C56:C58"/>
    <mergeCell ref="D56:D58"/>
    <mergeCell ref="A52:A55"/>
    <mergeCell ref="B52:B55"/>
    <mergeCell ref="C52:C55"/>
    <mergeCell ref="D52:D55"/>
    <mergeCell ref="E56:I56"/>
    <mergeCell ref="E64:Q64"/>
    <mergeCell ref="E65:I65"/>
    <mergeCell ref="A66:A68"/>
    <mergeCell ref="B66:B68"/>
    <mergeCell ref="C66:C68"/>
    <mergeCell ref="D66:D68"/>
    <mergeCell ref="E66:I66"/>
    <mergeCell ref="A69:A71"/>
    <mergeCell ref="B69:B71"/>
    <mergeCell ref="C69:C71"/>
    <mergeCell ref="D69:D71"/>
    <mergeCell ref="E69:I69"/>
    <mergeCell ref="A87:E87"/>
    <mergeCell ref="A88:E88"/>
    <mergeCell ref="A82:D82"/>
    <mergeCell ref="A83:D83"/>
    <mergeCell ref="A84:D84"/>
    <mergeCell ref="A85:E85"/>
    <mergeCell ref="A86:E86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4"/>
  <sheetViews>
    <sheetView topLeftCell="B1" zoomScale="85" zoomScaleNormal="85" workbookViewId="0">
      <pane ySplit="13" topLeftCell="A14" activePane="bottomLeft" state="frozen"/>
      <selection pane="bottomLeft" activeCell="B14" sqref="B14"/>
    </sheetView>
  </sheetViews>
  <sheetFormatPr defaultColWidth="9.140625" defaultRowHeight="12.75" x14ac:dyDescent="0.2"/>
  <cols>
    <col min="1" max="2" width="5" style="11" customWidth="1"/>
    <col min="3" max="4" width="5" style="9" customWidth="1"/>
    <col min="5" max="5" width="17.7109375" style="9" customWidth="1"/>
    <col min="6" max="6" width="13" style="9" customWidth="1"/>
    <col min="7" max="7" width="13" style="10" customWidth="1"/>
    <col min="8" max="9" width="13" style="9" customWidth="1"/>
    <col min="10" max="11" width="24.7109375" style="9" customWidth="1"/>
    <col min="12" max="12" width="49.7109375" style="9" customWidth="1"/>
    <col min="13" max="16" width="6.28515625" style="9" customWidth="1"/>
    <col min="17" max="17" width="32.7109375" style="9" customWidth="1"/>
    <col min="18" max="18" width="11.7109375" style="53" hidden="1" customWidth="1"/>
    <col min="19" max="19" width="10" style="9" hidden="1" customWidth="1"/>
    <col min="20" max="20" width="46.7109375" style="9" bestFit="1" customWidth="1"/>
    <col min="21" max="16384" width="9.140625" style="9"/>
  </cols>
  <sheetData>
    <row r="1" spans="1:19" x14ac:dyDescent="0.2">
      <c r="Q1" s="9" t="str">
        <f>'001'!Q1</f>
        <v>PATVIRTINTA</v>
      </c>
    </row>
    <row r="2" spans="1:19" x14ac:dyDescent="0.2">
      <c r="Q2" s="9" t="str">
        <f>'001'!Q2</f>
        <v>Plungės rajono savivaldybės tarybos</v>
      </c>
    </row>
    <row r="3" spans="1:19" x14ac:dyDescent="0.2">
      <c r="Q3" s="9" t="str">
        <f>'001'!Q3</f>
        <v>2026 m. vasario 12 d. sprendimu Nr. T1-</v>
      </c>
    </row>
    <row r="4" spans="1:19" hidden="1" x14ac:dyDescent="0.2">
      <c r="Q4" s="9" t="str">
        <f>'001'!Q4</f>
        <v xml:space="preserve">(2026 m. mėn. d. sprendimo Nr. </v>
      </c>
    </row>
    <row r="5" spans="1:19" hidden="1" x14ac:dyDescent="0.2">
      <c r="Q5" s="9" t="str">
        <f>'001'!Q5</f>
        <v>T1- redakcija)</v>
      </c>
    </row>
    <row r="6" spans="1:19" x14ac:dyDescent="0.2">
      <c r="Q6" s="9" t="str">
        <f>'001'!Q6</f>
        <v xml:space="preserve">Plungės rajono savivaldybės </v>
      </c>
    </row>
    <row r="7" spans="1:19" x14ac:dyDescent="0.2">
      <c r="L7" s="50"/>
      <c r="Q7" s="9" t="str">
        <f>'001'!Q7</f>
        <v>2026–2028 metų  strateginio veiklos plano</v>
      </c>
    </row>
    <row r="8" spans="1:19" x14ac:dyDescent="0.2">
      <c r="L8" s="50"/>
      <c r="Q8" s="9" t="s">
        <v>328</v>
      </c>
    </row>
    <row r="9" spans="1:19" x14ac:dyDescent="0.2">
      <c r="H9" s="50"/>
    </row>
    <row r="10" spans="1:19" x14ac:dyDescent="0.2">
      <c r="A10" s="470" t="s">
        <v>921</v>
      </c>
      <c r="B10" s="470"/>
      <c r="C10" s="470"/>
      <c r="D10" s="470"/>
      <c r="E10" s="470"/>
      <c r="F10" s="470"/>
      <c r="G10" s="470"/>
      <c r="H10" s="470"/>
      <c r="I10" s="470"/>
      <c r="J10" s="470"/>
      <c r="K10" s="470"/>
      <c r="L10" s="470"/>
      <c r="M10" s="470"/>
      <c r="N10" s="470"/>
      <c r="O10" s="470"/>
      <c r="P10" s="470"/>
      <c r="Q10" s="76" t="s">
        <v>244</v>
      </c>
      <c r="R10" s="64"/>
    </row>
    <row r="11" spans="1:19" ht="26.25" customHeight="1" x14ac:dyDescent="0.2">
      <c r="A11" s="418" t="str">
        <f>'001'!A11:R13</f>
        <v>Kodas</v>
      </c>
      <c r="B11" s="418"/>
      <c r="C11" s="418"/>
      <c r="D11" s="443" t="str">
        <f>'001'!D11:D12</f>
        <v>Uždavinio/ priemonės požymis *</v>
      </c>
      <c r="E11" s="418" t="str">
        <f>'001'!E11:E12</f>
        <v>Programos tikslo/uždavinio/priemonės pavadinimas ir finansavimo šaltiniai</v>
      </c>
      <c r="F11" s="418" t="str">
        <f>'001'!F11:F12</f>
        <v>2025-ųjų m. asignavimai ir kitos lėšos (2025-02-13 datai)</v>
      </c>
      <c r="G11" s="442" t="str">
        <f>'001'!G11:G12</f>
        <v>2026-ųjų m. asignavimai ir kitos lėšos</v>
      </c>
      <c r="H11" s="418" t="str">
        <f>'001'!H11:H12</f>
        <v>Planuojami 2027-ųjų m. asignavimai ir kitos lėšos</v>
      </c>
      <c r="I11" s="418" t="str">
        <f>'001'!I11:I12</f>
        <v>Planuojami 2028-ųjų m. asignavimai ir kitos lėšos</v>
      </c>
      <c r="J11" s="418" t="str">
        <f>'001'!J11:J12</f>
        <v>Savivaldybės strateginio plėtros plano tikslo/uždavinio kodas**</v>
      </c>
      <c r="K11" s="418" t="str">
        <f>'001'!K11:K12</f>
        <v>Stebėsenos rodiklio kodas</v>
      </c>
      <c r="L11" s="417" t="str">
        <f>'001'!L11:M11</f>
        <v>Stebėsenos rodiklio</v>
      </c>
      <c r="M11" s="417"/>
      <c r="N11" s="417" t="str">
        <f>'001'!N11:P11</f>
        <v>Siektinos stebėsenos rodiklių reikšmės</v>
      </c>
      <c r="O11" s="417"/>
      <c r="P11" s="417"/>
      <c r="Q11" s="417" t="str">
        <f>'001'!Q11:Q12</f>
        <v>Savivaldybės strateginio plėtros plano rodiklio kodas**</v>
      </c>
      <c r="R11" s="441" t="str">
        <f>'001'!R11:R12</f>
        <v>Asignavimų skirtumas (2024 m.- 2025 m.)</v>
      </c>
    </row>
    <row r="12" spans="1:19" ht="82.5" customHeight="1" x14ac:dyDescent="0.2">
      <c r="A12" s="68" t="str">
        <f>'001'!A12</f>
        <v>tikslo</v>
      </c>
      <c r="B12" s="68" t="str">
        <f>'001'!B12</f>
        <v>uždavinio</v>
      </c>
      <c r="C12" s="68" t="str">
        <f>'001'!C12</f>
        <v>priemonės</v>
      </c>
      <c r="D12" s="443"/>
      <c r="E12" s="418"/>
      <c r="F12" s="418"/>
      <c r="G12" s="442"/>
      <c r="H12" s="418"/>
      <c r="I12" s="418"/>
      <c r="J12" s="418"/>
      <c r="K12" s="418"/>
      <c r="L12" s="72" t="str">
        <f>'001'!L12</f>
        <v>pavadinimas</v>
      </c>
      <c r="M12" s="72" t="str">
        <f>'001'!M12</f>
        <v>mato vnt.</v>
      </c>
      <c r="N12" s="72">
        <f>'001'!N12</f>
        <v>2026</v>
      </c>
      <c r="O12" s="72">
        <f>'001'!O12</f>
        <v>2027</v>
      </c>
      <c r="P12" s="72">
        <f>'001'!P12</f>
        <v>2028</v>
      </c>
      <c r="Q12" s="417"/>
      <c r="R12" s="441"/>
      <c r="S12" s="59"/>
    </row>
    <row r="13" spans="1:19" ht="12.75" customHeight="1" x14ac:dyDescent="0.2">
      <c r="A13" s="47">
        <f>'001'!A13</f>
        <v>1</v>
      </c>
      <c r="B13" s="47">
        <f>'001'!B13</f>
        <v>2</v>
      </c>
      <c r="C13" s="47">
        <f>'001'!C13</f>
        <v>3</v>
      </c>
      <c r="D13" s="47">
        <f>'001'!D13</f>
        <v>4</v>
      </c>
      <c r="E13" s="47">
        <f>'001'!E13</f>
        <v>5</v>
      </c>
      <c r="F13" s="47">
        <f>'001'!F13</f>
        <v>6</v>
      </c>
      <c r="G13" s="48">
        <f>'001'!G13</f>
        <v>7</v>
      </c>
      <c r="H13" s="47">
        <f>'001'!H13</f>
        <v>8</v>
      </c>
      <c r="I13" s="47">
        <f>'001'!I13</f>
        <v>9</v>
      </c>
      <c r="J13" s="47">
        <f>'001'!J13</f>
        <v>10</v>
      </c>
      <c r="K13" s="47">
        <f>'001'!K13</f>
        <v>11</v>
      </c>
      <c r="L13" s="47">
        <f>'001'!L13</f>
        <v>12</v>
      </c>
      <c r="M13" s="47">
        <f>'001'!M13</f>
        <v>13</v>
      </c>
      <c r="N13" s="47">
        <f>'001'!N13</f>
        <v>14</v>
      </c>
      <c r="O13" s="47">
        <f>'001'!O13</f>
        <v>15</v>
      </c>
      <c r="P13" s="47">
        <f>'001'!P13</f>
        <v>16</v>
      </c>
      <c r="Q13" s="47">
        <f>'001'!Q13</f>
        <v>17</v>
      </c>
      <c r="R13" s="47">
        <f>'001'!R13</f>
        <v>18</v>
      </c>
      <c r="S13" s="59"/>
    </row>
    <row r="14" spans="1:19" s="70" customFormat="1" x14ac:dyDescent="0.2">
      <c r="A14" s="142" t="s">
        <v>0</v>
      </c>
      <c r="B14" s="46"/>
      <c r="C14" s="46"/>
      <c r="D14" s="46"/>
      <c r="E14" s="472" t="s">
        <v>888</v>
      </c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216"/>
      <c r="S14" s="217"/>
    </row>
    <row r="15" spans="1:19" s="70" customFormat="1" ht="25.5" x14ac:dyDescent="0.2">
      <c r="A15" s="454" t="s">
        <v>0</v>
      </c>
      <c r="B15" s="471" t="s">
        <v>0</v>
      </c>
      <c r="C15" s="468"/>
      <c r="D15" s="468" t="s">
        <v>18</v>
      </c>
      <c r="E15" s="469" t="s">
        <v>327</v>
      </c>
      <c r="F15" s="469"/>
      <c r="G15" s="469"/>
      <c r="H15" s="469"/>
      <c r="I15" s="469"/>
      <c r="J15" s="468" t="s">
        <v>863</v>
      </c>
      <c r="K15" s="34" t="s">
        <v>326</v>
      </c>
      <c r="L15" s="34" t="s">
        <v>1037</v>
      </c>
      <c r="M15" s="34" t="s">
        <v>11</v>
      </c>
      <c r="N15" s="148">
        <v>110</v>
      </c>
      <c r="O15" s="148">
        <v>110</v>
      </c>
      <c r="P15" s="148">
        <v>110</v>
      </c>
      <c r="Q15" s="473" t="s">
        <v>1009</v>
      </c>
      <c r="R15" s="216"/>
      <c r="S15" s="218"/>
    </row>
    <row r="16" spans="1:19" s="70" customFormat="1" ht="25.5" x14ac:dyDescent="0.2">
      <c r="A16" s="454"/>
      <c r="B16" s="471"/>
      <c r="C16" s="468"/>
      <c r="D16" s="468"/>
      <c r="E16" s="469"/>
      <c r="F16" s="469"/>
      <c r="G16" s="469"/>
      <c r="H16" s="469"/>
      <c r="I16" s="469"/>
      <c r="J16" s="468"/>
      <c r="K16" s="34" t="s">
        <v>325</v>
      </c>
      <c r="L16" s="34" t="s">
        <v>1038</v>
      </c>
      <c r="M16" s="34" t="s">
        <v>11</v>
      </c>
      <c r="N16" s="148">
        <v>110</v>
      </c>
      <c r="O16" s="148">
        <v>110</v>
      </c>
      <c r="P16" s="148">
        <v>110</v>
      </c>
      <c r="Q16" s="473"/>
      <c r="R16" s="216"/>
      <c r="S16" s="218"/>
    </row>
    <row r="17" spans="1:19" s="70" customFormat="1" ht="25.5" x14ac:dyDescent="0.2">
      <c r="A17" s="454"/>
      <c r="B17" s="471"/>
      <c r="C17" s="468"/>
      <c r="D17" s="468"/>
      <c r="E17" s="469"/>
      <c r="F17" s="469"/>
      <c r="G17" s="469"/>
      <c r="H17" s="469"/>
      <c r="I17" s="469"/>
      <c r="J17" s="468"/>
      <c r="K17" s="34" t="s">
        <v>324</v>
      </c>
      <c r="L17" s="34" t="s">
        <v>1039</v>
      </c>
      <c r="M17" s="34" t="s">
        <v>11</v>
      </c>
      <c r="N17" s="148">
        <v>110</v>
      </c>
      <c r="O17" s="148">
        <v>110</v>
      </c>
      <c r="P17" s="148">
        <v>110</v>
      </c>
      <c r="Q17" s="473"/>
      <c r="R17" s="216"/>
      <c r="S17" s="218"/>
    </row>
    <row r="18" spans="1:19" s="70" customFormat="1" ht="26.45" customHeight="1" x14ac:dyDescent="0.2">
      <c r="A18" s="454" t="s">
        <v>0</v>
      </c>
      <c r="B18" s="464" t="s">
        <v>0</v>
      </c>
      <c r="C18" s="450" t="s">
        <v>0</v>
      </c>
      <c r="D18" s="450" t="s">
        <v>21</v>
      </c>
      <c r="E18" s="474" t="s">
        <v>323</v>
      </c>
      <c r="F18" s="475"/>
      <c r="G18" s="475"/>
      <c r="H18" s="475"/>
      <c r="I18" s="476"/>
      <c r="J18" s="480" t="s">
        <v>19</v>
      </c>
      <c r="K18" s="33" t="s">
        <v>322</v>
      </c>
      <c r="L18" s="33" t="s">
        <v>889</v>
      </c>
      <c r="M18" s="33" t="s">
        <v>502</v>
      </c>
      <c r="N18" s="219">
        <v>6</v>
      </c>
      <c r="O18" s="219">
        <v>7</v>
      </c>
      <c r="P18" s="219">
        <v>8</v>
      </c>
      <c r="Q18" s="219" t="s">
        <v>19</v>
      </c>
      <c r="R18" s="216"/>
      <c r="S18" s="218"/>
    </row>
    <row r="19" spans="1:19" s="70" customFormat="1" ht="25.5" x14ac:dyDescent="0.2">
      <c r="A19" s="454"/>
      <c r="B19" s="464"/>
      <c r="C19" s="450"/>
      <c r="D19" s="450"/>
      <c r="E19" s="477"/>
      <c r="F19" s="478"/>
      <c r="G19" s="478"/>
      <c r="H19" s="478"/>
      <c r="I19" s="479"/>
      <c r="J19" s="481"/>
      <c r="K19" s="33" t="s">
        <v>321</v>
      </c>
      <c r="L19" s="381" t="s">
        <v>1040</v>
      </c>
      <c r="M19" s="33" t="s">
        <v>12</v>
      </c>
      <c r="N19" s="219">
        <v>9</v>
      </c>
      <c r="O19" s="219">
        <v>10</v>
      </c>
      <c r="P19" s="219">
        <v>11</v>
      </c>
      <c r="Q19" s="219" t="s">
        <v>19</v>
      </c>
      <c r="R19" s="216"/>
      <c r="S19" s="217"/>
    </row>
    <row r="20" spans="1:19" s="70" customFormat="1" ht="12.75" customHeight="1" x14ac:dyDescent="0.2">
      <c r="A20" s="454"/>
      <c r="B20" s="464"/>
      <c r="C20" s="450"/>
      <c r="D20" s="450"/>
      <c r="E20" s="477"/>
      <c r="F20" s="478"/>
      <c r="G20" s="478"/>
      <c r="H20" s="478"/>
      <c r="I20" s="479"/>
      <c r="J20" s="481"/>
      <c r="K20" s="33" t="s">
        <v>320</v>
      </c>
      <c r="L20" s="33" t="s">
        <v>319</v>
      </c>
      <c r="M20" s="33" t="s">
        <v>12</v>
      </c>
      <c r="N20" s="219">
        <v>4</v>
      </c>
      <c r="O20" s="219">
        <v>5</v>
      </c>
      <c r="P20" s="219">
        <v>6</v>
      </c>
      <c r="Q20" s="219" t="s">
        <v>19</v>
      </c>
      <c r="R20" s="62"/>
      <c r="S20" s="217"/>
    </row>
    <row r="21" spans="1:19" s="70" customFormat="1" x14ac:dyDescent="0.2">
      <c r="A21" s="454"/>
      <c r="B21" s="464"/>
      <c r="C21" s="450"/>
      <c r="D21" s="450"/>
      <c r="E21" s="141" t="s">
        <v>14</v>
      </c>
      <c r="F21" s="31">
        <v>35</v>
      </c>
      <c r="G21" s="30">
        <v>55</v>
      </c>
      <c r="H21" s="94">
        <f>ROUND(G21*Lapas1!$A$1,1)</f>
        <v>60</v>
      </c>
      <c r="I21" s="94">
        <f>ROUND(H21*Lapas1!$A$2,1)</f>
        <v>67.8</v>
      </c>
      <c r="J21" s="44"/>
      <c r="K21" s="44"/>
      <c r="L21" s="25"/>
      <c r="M21" s="25"/>
      <c r="N21" s="24"/>
      <c r="O21" s="25"/>
      <c r="P21" s="25"/>
      <c r="Q21" s="25"/>
      <c r="R21" s="216"/>
      <c r="S21" s="217"/>
    </row>
    <row r="22" spans="1:19" s="70" customFormat="1" x14ac:dyDescent="0.2">
      <c r="A22" s="454"/>
      <c r="B22" s="464"/>
      <c r="C22" s="450"/>
      <c r="D22" s="450"/>
      <c r="E22" s="141" t="s">
        <v>15</v>
      </c>
      <c r="F22" s="31">
        <f>203.2+20</f>
        <v>223.2</v>
      </c>
      <c r="G22" s="30">
        <v>127.461</v>
      </c>
      <c r="H22" s="94">
        <f>ROUND(G22*Lapas1!$A$1,1)</f>
        <v>138.9</v>
      </c>
      <c r="I22" s="94">
        <f>ROUND(H22*Lapas1!$A$2,1)</f>
        <v>157</v>
      </c>
      <c r="J22" s="44"/>
      <c r="K22" s="44"/>
      <c r="L22" s="25"/>
      <c r="M22" s="25"/>
      <c r="N22" s="24"/>
      <c r="O22" s="25"/>
      <c r="P22" s="25"/>
      <c r="Q22" s="25"/>
      <c r="R22" s="216"/>
      <c r="S22" s="217"/>
    </row>
    <row r="23" spans="1:19" s="70" customFormat="1" x14ac:dyDescent="0.2">
      <c r="A23" s="454"/>
      <c r="B23" s="464"/>
      <c r="C23" s="450"/>
      <c r="D23" s="450"/>
      <c r="E23" s="29" t="s">
        <v>22</v>
      </c>
      <c r="F23" s="17">
        <f>SUM(F21:F22)</f>
        <v>258.2</v>
      </c>
      <c r="G23" s="28">
        <f>SUM(G21:G22)</f>
        <v>182.46100000000001</v>
      </c>
      <c r="H23" s="17">
        <f>SUM(H21:H22)</f>
        <v>198.9</v>
      </c>
      <c r="I23" s="17">
        <f>SUM(I21:I22)</f>
        <v>224.8</v>
      </c>
      <c r="J23" s="44"/>
      <c r="K23" s="44"/>
      <c r="L23" s="25"/>
      <c r="M23" s="25"/>
      <c r="N23" s="24"/>
      <c r="O23" s="25"/>
      <c r="P23" s="25"/>
      <c r="Q23" s="25"/>
      <c r="R23" s="42">
        <f>(G23-F23)/F23</f>
        <v>-0.29333462432223073</v>
      </c>
      <c r="S23" s="217"/>
    </row>
    <row r="24" spans="1:19" s="70" customFormat="1" ht="13.15" customHeight="1" x14ac:dyDescent="0.2">
      <c r="A24" s="454" t="s">
        <v>0</v>
      </c>
      <c r="B24" s="455" t="s">
        <v>0</v>
      </c>
      <c r="C24" s="449" t="s">
        <v>10</v>
      </c>
      <c r="D24" s="449" t="s">
        <v>21</v>
      </c>
      <c r="E24" s="451" t="s">
        <v>318</v>
      </c>
      <c r="F24" s="451"/>
      <c r="G24" s="451"/>
      <c r="H24" s="451"/>
      <c r="I24" s="451"/>
      <c r="J24" s="456" t="s">
        <v>19</v>
      </c>
      <c r="K24" s="33" t="s">
        <v>317</v>
      </c>
      <c r="L24" s="33" t="s">
        <v>316</v>
      </c>
      <c r="M24" s="33" t="s">
        <v>12</v>
      </c>
      <c r="N24" s="145">
        <v>1</v>
      </c>
      <c r="O24" s="145">
        <v>2</v>
      </c>
      <c r="P24" s="145">
        <v>3</v>
      </c>
      <c r="Q24" s="145" t="s">
        <v>19</v>
      </c>
      <c r="R24" s="216"/>
      <c r="S24" s="217"/>
    </row>
    <row r="25" spans="1:19" s="70" customFormat="1" ht="13.15" customHeight="1" x14ac:dyDescent="0.2">
      <c r="A25" s="454"/>
      <c r="B25" s="455"/>
      <c r="C25" s="449"/>
      <c r="D25" s="449"/>
      <c r="E25" s="451"/>
      <c r="F25" s="451"/>
      <c r="G25" s="451"/>
      <c r="H25" s="451"/>
      <c r="I25" s="451"/>
      <c r="J25" s="456"/>
      <c r="K25" s="33" t="s">
        <v>315</v>
      </c>
      <c r="L25" s="33" t="s">
        <v>314</v>
      </c>
      <c r="M25" s="33" t="s">
        <v>12</v>
      </c>
      <c r="N25" s="145">
        <v>1</v>
      </c>
      <c r="O25" s="145">
        <v>2</v>
      </c>
      <c r="P25" s="145">
        <v>3</v>
      </c>
      <c r="Q25" s="145" t="s">
        <v>19</v>
      </c>
      <c r="R25" s="216"/>
      <c r="S25" s="217"/>
    </row>
    <row r="26" spans="1:19" s="70" customFormat="1" x14ac:dyDescent="0.2">
      <c r="A26" s="454"/>
      <c r="B26" s="455"/>
      <c r="C26" s="449"/>
      <c r="D26" s="449"/>
      <c r="E26" s="141" t="s">
        <v>14</v>
      </c>
      <c r="F26" s="31">
        <v>60.8</v>
      </c>
      <c r="G26" s="31">
        <v>35.9</v>
      </c>
      <c r="H26" s="94">
        <f>ROUND(G26*Lapas1!$A$1,1)</f>
        <v>39.1</v>
      </c>
      <c r="I26" s="94">
        <f>ROUND(H26*Lapas1!$A$2,1)</f>
        <v>44.2</v>
      </c>
      <c r="J26" s="44"/>
      <c r="K26" s="26"/>
      <c r="L26" s="43"/>
      <c r="M26" s="43"/>
      <c r="N26" s="24"/>
      <c r="O26" s="220"/>
      <c r="P26" s="220"/>
      <c r="Q26" s="220"/>
      <c r="R26" s="216"/>
      <c r="S26" s="217"/>
    </row>
    <row r="27" spans="1:19" s="70" customFormat="1" x14ac:dyDescent="0.2">
      <c r="A27" s="454"/>
      <c r="B27" s="455"/>
      <c r="C27" s="449"/>
      <c r="D27" s="449"/>
      <c r="E27" s="29" t="s">
        <v>22</v>
      </c>
      <c r="F27" s="27">
        <f>SUM(F26)</f>
        <v>60.8</v>
      </c>
      <c r="G27" s="28">
        <f>SUM(G26)</f>
        <v>35.9</v>
      </c>
      <c r="H27" s="17">
        <f>SUM(H26)</f>
        <v>39.1</v>
      </c>
      <c r="I27" s="17">
        <f>SUM(I26)</f>
        <v>44.2</v>
      </c>
      <c r="J27" s="44"/>
      <c r="K27" s="26"/>
      <c r="L27" s="43"/>
      <c r="M27" s="43"/>
      <c r="N27" s="24"/>
      <c r="O27" s="220"/>
      <c r="P27" s="220"/>
      <c r="Q27" s="220"/>
      <c r="R27" s="42">
        <f>(G27-F27)/F27</f>
        <v>-0.40953947368421051</v>
      </c>
      <c r="S27" s="217"/>
    </row>
    <row r="28" spans="1:19" s="70" customFormat="1" ht="13.15" customHeight="1" x14ac:dyDescent="0.2">
      <c r="A28" s="454" t="s">
        <v>0</v>
      </c>
      <c r="B28" s="455" t="s">
        <v>0</v>
      </c>
      <c r="C28" s="449" t="s">
        <v>24</v>
      </c>
      <c r="D28" s="449" t="s">
        <v>78</v>
      </c>
      <c r="E28" s="465" t="s">
        <v>313</v>
      </c>
      <c r="F28" s="465"/>
      <c r="G28" s="465"/>
      <c r="H28" s="465"/>
      <c r="I28" s="465"/>
      <c r="J28" s="456" t="s">
        <v>312</v>
      </c>
      <c r="K28" s="33" t="s">
        <v>311</v>
      </c>
      <c r="L28" s="33" t="s">
        <v>310</v>
      </c>
      <c r="M28" s="33" t="s">
        <v>12</v>
      </c>
      <c r="N28" s="145">
        <v>0</v>
      </c>
      <c r="O28" s="145">
        <v>1</v>
      </c>
      <c r="P28" s="145">
        <v>2</v>
      </c>
      <c r="Q28" s="467" t="s">
        <v>329</v>
      </c>
      <c r="R28" s="216"/>
      <c r="S28" s="217"/>
    </row>
    <row r="29" spans="1:19" s="70" customFormat="1" ht="25.5" x14ac:dyDescent="0.2">
      <c r="A29" s="454"/>
      <c r="B29" s="455"/>
      <c r="C29" s="449"/>
      <c r="D29" s="449"/>
      <c r="E29" s="465"/>
      <c r="F29" s="465"/>
      <c r="G29" s="465"/>
      <c r="H29" s="465"/>
      <c r="I29" s="465"/>
      <c r="J29" s="456"/>
      <c r="K29" s="33" t="s">
        <v>309</v>
      </c>
      <c r="L29" s="33" t="s">
        <v>308</v>
      </c>
      <c r="M29" s="33" t="s">
        <v>12</v>
      </c>
      <c r="N29" s="145">
        <v>4</v>
      </c>
      <c r="O29" s="145">
        <v>5</v>
      </c>
      <c r="P29" s="145">
        <v>6</v>
      </c>
      <c r="Q29" s="467"/>
      <c r="R29" s="216"/>
      <c r="S29" s="217"/>
    </row>
    <row r="30" spans="1:19" s="70" customFormat="1" x14ac:dyDescent="0.2">
      <c r="A30" s="454"/>
      <c r="B30" s="455"/>
      <c r="C30" s="449"/>
      <c r="D30" s="449"/>
      <c r="E30" s="141" t="s">
        <v>14</v>
      </c>
      <c r="F30" s="31">
        <v>89.2</v>
      </c>
      <c r="G30" s="31">
        <v>183</v>
      </c>
      <c r="H30" s="94">
        <f>ROUND(G30*Lapas1!$A$1,1)</f>
        <v>199.5</v>
      </c>
      <c r="I30" s="94">
        <f>ROUND(H30*Lapas1!$A$2,1)</f>
        <v>225.4</v>
      </c>
      <c r="J30" s="44"/>
      <c r="K30" s="26"/>
      <c r="L30" s="43"/>
      <c r="M30" s="43"/>
      <c r="N30" s="24"/>
      <c r="O30" s="220"/>
      <c r="P30" s="220"/>
      <c r="Q30" s="220"/>
      <c r="R30" s="216"/>
      <c r="S30" s="217"/>
    </row>
    <row r="31" spans="1:19" s="70" customFormat="1" x14ac:dyDescent="0.2">
      <c r="A31" s="454"/>
      <c r="B31" s="455"/>
      <c r="C31" s="449"/>
      <c r="D31" s="449"/>
      <c r="E31" s="29" t="s">
        <v>22</v>
      </c>
      <c r="F31" s="27">
        <f>SUM(F30)</f>
        <v>89.2</v>
      </c>
      <c r="G31" s="28">
        <f>SUM(G30)</f>
        <v>183</v>
      </c>
      <c r="H31" s="17">
        <f>SUM(H30)</f>
        <v>199.5</v>
      </c>
      <c r="I31" s="17">
        <f>SUM(I30)</f>
        <v>225.4</v>
      </c>
      <c r="J31" s="44"/>
      <c r="K31" s="26"/>
      <c r="L31" s="43"/>
      <c r="M31" s="43"/>
      <c r="N31" s="24"/>
      <c r="O31" s="220"/>
      <c r="P31" s="220"/>
      <c r="Q31" s="220"/>
      <c r="R31" s="42">
        <f>(G31-F31)/F31</f>
        <v>1.0515695067264574</v>
      </c>
      <c r="S31" s="221">
        <f>(G31+G27-F27)/F27</f>
        <v>2.6003289473684217</v>
      </c>
    </row>
    <row r="32" spans="1:19" s="70" customFormat="1" ht="33.75" customHeight="1" x14ac:dyDescent="0.2">
      <c r="A32" s="454" t="s">
        <v>0</v>
      </c>
      <c r="B32" s="455" t="s">
        <v>0</v>
      </c>
      <c r="C32" s="449" t="s">
        <v>25</v>
      </c>
      <c r="D32" s="449" t="s">
        <v>21</v>
      </c>
      <c r="E32" s="451" t="s">
        <v>307</v>
      </c>
      <c r="F32" s="451"/>
      <c r="G32" s="451"/>
      <c r="H32" s="451"/>
      <c r="I32" s="451"/>
      <c r="J32" s="141" t="s">
        <v>19</v>
      </c>
      <c r="K32" s="33" t="s">
        <v>306</v>
      </c>
      <c r="L32" s="381" t="s">
        <v>1041</v>
      </c>
      <c r="M32" s="33" t="s">
        <v>12</v>
      </c>
      <c r="N32" s="145">
        <v>830</v>
      </c>
      <c r="O32" s="145">
        <v>913</v>
      </c>
      <c r="P32" s="145">
        <v>1005</v>
      </c>
      <c r="Q32" s="145" t="s">
        <v>19</v>
      </c>
      <c r="R32" s="216"/>
      <c r="S32" s="217"/>
    </row>
    <row r="33" spans="1:19" s="70" customFormat="1" x14ac:dyDescent="0.2">
      <c r="A33" s="454"/>
      <c r="B33" s="455"/>
      <c r="C33" s="449"/>
      <c r="D33" s="449"/>
      <c r="E33" s="141" t="s">
        <v>15</v>
      </c>
      <c r="F33" s="31">
        <v>15.784000000000001</v>
      </c>
      <c r="G33" s="31">
        <v>15.92</v>
      </c>
      <c r="H33" s="94">
        <f>ROUND(G33*Lapas1!$A$1,1)</f>
        <v>17.399999999999999</v>
      </c>
      <c r="I33" s="94">
        <f>ROUND(H33*Lapas1!$A$2,1)</f>
        <v>19.7</v>
      </c>
      <c r="J33" s="44"/>
      <c r="K33" s="26"/>
      <c r="L33" s="43"/>
      <c r="M33" s="43"/>
      <c r="N33" s="24"/>
      <c r="O33" s="24"/>
      <c r="P33" s="220"/>
      <c r="Q33" s="220"/>
      <c r="R33" s="216"/>
      <c r="S33" s="217"/>
    </row>
    <row r="34" spans="1:19" s="70" customFormat="1" x14ac:dyDescent="0.2">
      <c r="A34" s="454"/>
      <c r="B34" s="455"/>
      <c r="C34" s="449"/>
      <c r="D34" s="449"/>
      <c r="E34" s="29" t="s">
        <v>22</v>
      </c>
      <c r="F34" s="17">
        <f>SUM(F33)</f>
        <v>15.784000000000001</v>
      </c>
      <c r="G34" s="28">
        <f>SUM(G33)</f>
        <v>15.92</v>
      </c>
      <c r="H34" s="17">
        <f>SUM(H33)</f>
        <v>17.399999999999999</v>
      </c>
      <c r="I34" s="17">
        <f>SUM(I33)</f>
        <v>19.7</v>
      </c>
      <c r="J34" s="44"/>
      <c r="K34" s="26"/>
      <c r="L34" s="43"/>
      <c r="M34" s="43"/>
      <c r="N34" s="24"/>
      <c r="O34" s="24"/>
      <c r="P34" s="220"/>
      <c r="Q34" s="220"/>
      <c r="R34" s="42">
        <f>(G34-F34)/F34</f>
        <v>8.616320324379069E-3</v>
      </c>
      <c r="S34" s="217"/>
    </row>
    <row r="35" spans="1:19" s="70" customFormat="1" x14ac:dyDescent="0.2">
      <c r="A35" s="142" t="s">
        <v>0</v>
      </c>
      <c r="B35" s="147" t="s">
        <v>0</v>
      </c>
      <c r="C35" s="144"/>
      <c r="D35" s="144" t="s">
        <v>18</v>
      </c>
      <c r="E35" s="41" t="s">
        <v>238</v>
      </c>
      <c r="F35" s="39">
        <f>F23+F27+F34+F31</f>
        <v>423.98399999999998</v>
      </c>
      <c r="G35" s="40">
        <f>G23+G27+G34+G31</f>
        <v>417.28100000000001</v>
      </c>
      <c r="H35" s="39">
        <f>H23+H27+H34+H31</f>
        <v>454.9</v>
      </c>
      <c r="I35" s="39">
        <f>I23+I27+I34+I31</f>
        <v>514.1</v>
      </c>
      <c r="J35" s="154"/>
      <c r="K35" s="85"/>
      <c r="L35" s="85"/>
      <c r="M35" s="85"/>
      <c r="N35" s="84"/>
      <c r="O35" s="84"/>
      <c r="P35" s="84"/>
      <c r="Q35" s="84"/>
      <c r="R35" s="216"/>
      <c r="S35" s="217"/>
    </row>
    <row r="36" spans="1:19" s="70" customFormat="1" x14ac:dyDescent="0.2">
      <c r="A36" s="222" t="s">
        <v>0</v>
      </c>
      <c r="B36" s="38"/>
      <c r="C36" s="38"/>
      <c r="D36" s="38"/>
      <c r="E36" s="37" t="s">
        <v>239</v>
      </c>
      <c r="F36" s="35">
        <f>F35</f>
        <v>423.98399999999998</v>
      </c>
      <c r="G36" s="36">
        <f t="shared" ref="G36:I36" si="0">G35</f>
        <v>417.28100000000001</v>
      </c>
      <c r="H36" s="35">
        <f t="shared" si="0"/>
        <v>454.9</v>
      </c>
      <c r="I36" s="35">
        <f t="shared" si="0"/>
        <v>514.1</v>
      </c>
      <c r="J36" s="60"/>
      <c r="K36" s="223"/>
      <c r="L36" s="223"/>
      <c r="M36" s="223"/>
      <c r="N36" s="223"/>
      <c r="O36" s="223"/>
      <c r="P36" s="223"/>
      <c r="Q36" s="223"/>
      <c r="R36" s="216"/>
      <c r="S36" s="217"/>
    </row>
    <row r="37" spans="1:19" s="70" customFormat="1" x14ac:dyDescent="0.2">
      <c r="A37" s="47"/>
      <c r="B37" s="47"/>
      <c r="C37" s="47"/>
      <c r="D37" s="47"/>
      <c r="E37" s="22" t="s">
        <v>240</v>
      </c>
      <c r="F37" s="20">
        <f>F36</f>
        <v>423.98399999999998</v>
      </c>
      <c r="G37" s="21">
        <f>G36</f>
        <v>417.28100000000001</v>
      </c>
      <c r="H37" s="20">
        <f>H36</f>
        <v>454.9</v>
      </c>
      <c r="I37" s="20">
        <f>I36</f>
        <v>514.1</v>
      </c>
      <c r="J37" s="73"/>
      <c r="K37" s="224"/>
      <c r="L37" s="224"/>
      <c r="M37" s="224"/>
      <c r="N37" s="224"/>
      <c r="O37" s="224"/>
      <c r="P37" s="224"/>
      <c r="Q37" s="224"/>
      <c r="R37" s="216"/>
      <c r="S37" s="217"/>
    </row>
    <row r="38" spans="1:19" ht="40.5" customHeight="1" x14ac:dyDescent="0.2">
      <c r="A38" s="462" t="s">
        <v>790</v>
      </c>
      <c r="B38" s="462"/>
      <c r="C38" s="462"/>
      <c r="D38" s="462"/>
      <c r="E38" s="462"/>
      <c r="F38" s="462"/>
      <c r="G38" s="462"/>
      <c r="H38" s="462"/>
      <c r="I38" s="462"/>
      <c r="J38" s="462"/>
      <c r="K38" s="462"/>
    </row>
    <row r="39" spans="1:19" ht="27" customHeight="1" x14ac:dyDescent="0.2">
      <c r="A39" s="416" t="s">
        <v>795</v>
      </c>
      <c r="B39" s="416"/>
      <c r="C39" s="416"/>
      <c r="D39" s="416"/>
      <c r="E39" s="416"/>
      <c r="F39" s="416"/>
      <c r="G39" s="416"/>
      <c r="H39" s="416"/>
      <c r="I39" s="416"/>
      <c r="J39" s="416"/>
      <c r="K39" s="416"/>
    </row>
    <row r="40" spans="1:19" x14ac:dyDescent="0.2">
      <c r="A40" s="19"/>
    </row>
    <row r="41" spans="1:19" x14ac:dyDescent="0.2">
      <c r="A41" s="463" t="s">
        <v>4</v>
      </c>
      <c r="B41" s="463"/>
      <c r="C41" s="463"/>
      <c r="D41" s="463"/>
      <c r="E41" s="463"/>
      <c r="F41" s="463"/>
      <c r="G41" s="463"/>
      <c r="H41" s="463"/>
      <c r="I41" s="463"/>
    </row>
    <row r="42" spans="1:19" ht="30.75" customHeight="1" x14ac:dyDescent="0.2">
      <c r="A42" s="445" t="s">
        <v>13</v>
      </c>
      <c r="B42" s="445"/>
      <c r="C42" s="445"/>
      <c r="D42" s="445"/>
      <c r="E42" s="71" t="s">
        <v>14</v>
      </c>
      <c r="F42" s="17">
        <f>F27+F21+F31</f>
        <v>185</v>
      </c>
      <c r="G42" s="28">
        <f t="shared" ref="G42:I42" si="1">G27+G21+G31</f>
        <v>273.89999999999998</v>
      </c>
      <c r="H42" s="17">
        <f t="shared" si="1"/>
        <v>298.60000000000002</v>
      </c>
      <c r="I42" s="17">
        <f t="shared" si="1"/>
        <v>337.4</v>
      </c>
    </row>
    <row r="43" spans="1:19" ht="30.75" customHeight="1" x14ac:dyDescent="0.2">
      <c r="A43" s="445" t="s">
        <v>20</v>
      </c>
      <c r="B43" s="445"/>
      <c r="C43" s="445"/>
      <c r="D43" s="445"/>
      <c r="E43" s="71" t="s">
        <v>15</v>
      </c>
      <c r="F43" s="17">
        <f>F34+F22</f>
        <v>238.98399999999998</v>
      </c>
      <c r="G43" s="28">
        <f>G34+G22</f>
        <v>143.381</v>
      </c>
      <c r="H43" s="17">
        <f>H34+H22</f>
        <v>156.30000000000001</v>
      </c>
      <c r="I43" s="17">
        <f>I34+I22</f>
        <v>176.7</v>
      </c>
    </row>
    <row r="44" spans="1:19" ht="51" customHeight="1" x14ac:dyDescent="0.2">
      <c r="A44" s="445" t="s">
        <v>305</v>
      </c>
      <c r="B44" s="445"/>
      <c r="C44" s="445"/>
      <c r="D44" s="445"/>
      <c r="E44" s="71" t="s">
        <v>17</v>
      </c>
      <c r="F44" s="17"/>
      <c r="G44" s="334"/>
      <c r="H44" s="57"/>
      <c r="I44" s="57"/>
    </row>
    <row r="45" spans="1:19" ht="30.75" customHeight="1" x14ac:dyDescent="0.2">
      <c r="A45" s="445" t="s">
        <v>304</v>
      </c>
      <c r="B45" s="445"/>
      <c r="C45" s="445"/>
      <c r="D45" s="445"/>
      <c r="E45" s="71" t="s">
        <v>232</v>
      </c>
      <c r="F45" s="17"/>
      <c r="G45" s="28"/>
      <c r="H45" s="17"/>
      <c r="I45" s="17"/>
    </row>
    <row r="46" spans="1:19" ht="30.75" customHeight="1" x14ac:dyDescent="0.2">
      <c r="A46" s="445" t="s">
        <v>247</v>
      </c>
      <c r="B46" s="445"/>
      <c r="C46" s="445"/>
      <c r="D46" s="445"/>
      <c r="E46" s="71" t="s">
        <v>18</v>
      </c>
      <c r="F46" s="63"/>
      <c r="G46" s="334"/>
      <c r="H46" s="57"/>
      <c r="I46" s="57"/>
    </row>
    <row r="47" spans="1:19" x14ac:dyDescent="0.2">
      <c r="A47" s="445" t="s">
        <v>169</v>
      </c>
      <c r="B47" s="445"/>
      <c r="C47" s="445"/>
      <c r="D47" s="445"/>
      <c r="E47" s="71" t="s">
        <v>162</v>
      </c>
      <c r="F47" s="63"/>
      <c r="G47" s="334"/>
      <c r="H47" s="57"/>
      <c r="I47" s="57"/>
    </row>
    <row r="48" spans="1:19" ht="24.75" customHeight="1" x14ac:dyDescent="0.2">
      <c r="A48" s="446" t="s">
        <v>3</v>
      </c>
      <c r="B48" s="446"/>
      <c r="C48" s="446"/>
      <c r="D48" s="446"/>
      <c r="E48" s="446"/>
      <c r="F48" s="51">
        <f>SUM(F42:F47)</f>
        <v>423.98399999999998</v>
      </c>
      <c r="G48" s="52">
        <f>SUM(G42:G47)</f>
        <v>417.28099999999995</v>
      </c>
      <c r="H48" s="51">
        <f>SUM(H42:H47)</f>
        <v>454.90000000000003</v>
      </c>
      <c r="I48" s="51">
        <f>SUM(I42:I47)</f>
        <v>514.09999999999991</v>
      </c>
    </row>
    <row r="49" spans="1:9" x14ac:dyDescent="0.2">
      <c r="A49" s="444" t="s">
        <v>7</v>
      </c>
      <c r="B49" s="444"/>
      <c r="C49" s="444"/>
      <c r="D49" s="444"/>
      <c r="E49" s="444"/>
      <c r="F49" s="16"/>
      <c r="G49" s="56"/>
      <c r="H49" s="16"/>
      <c r="I49" s="16"/>
    </row>
    <row r="50" spans="1:9" x14ac:dyDescent="0.2">
      <c r="A50" s="444" t="s">
        <v>5</v>
      </c>
      <c r="B50" s="444"/>
      <c r="C50" s="444"/>
      <c r="D50" s="444"/>
      <c r="E50" s="444"/>
      <c r="F50" s="16">
        <f>F31</f>
        <v>89.2</v>
      </c>
      <c r="G50" s="56">
        <f>G31</f>
        <v>183</v>
      </c>
      <c r="H50" s="16">
        <f>H31</f>
        <v>199.5</v>
      </c>
      <c r="I50" s="16">
        <f>I31</f>
        <v>225.4</v>
      </c>
    </row>
    <row r="51" spans="1:9" x14ac:dyDescent="0.2">
      <c r="A51" s="444" t="s">
        <v>6</v>
      </c>
      <c r="B51" s="444"/>
      <c r="C51" s="444"/>
      <c r="D51" s="444"/>
      <c r="E51" s="444"/>
      <c r="F51" s="16">
        <f>F23+F27+F34</f>
        <v>334.78399999999999</v>
      </c>
      <c r="G51" s="56">
        <f t="shared" ref="G51:I51" si="2">G23+G27+G34</f>
        <v>234.28100000000001</v>
      </c>
      <c r="H51" s="16">
        <f t="shared" si="2"/>
        <v>255.4</v>
      </c>
      <c r="I51" s="16">
        <f t="shared" si="2"/>
        <v>288.7</v>
      </c>
    </row>
    <row r="52" spans="1:9" x14ac:dyDescent="0.2">
      <c r="F52" s="14"/>
      <c r="G52" s="15"/>
      <c r="H52" s="11"/>
      <c r="I52" s="11"/>
    </row>
    <row r="53" spans="1:9" hidden="1" x14ac:dyDescent="0.2">
      <c r="D53" s="9" t="s">
        <v>23</v>
      </c>
      <c r="F53" s="12">
        <f>F48-F37</f>
        <v>0</v>
      </c>
      <c r="G53" s="13">
        <f>G48-G37</f>
        <v>0</v>
      </c>
      <c r="H53" s="12">
        <f>H48-H37</f>
        <v>0</v>
      </c>
      <c r="I53" s="12">
        <f>I48-I37</f>
        <v>0</v>
      </c>
    </row>
    <row r="54" spans="1:9" hidden="1" x14ac:dyDescent="0.2">
      <c r="F54" s="54">
        <f>F50+F51-F37</f>
        <v>0</v>
      </c>
      <c r="G54" s="55">
        <f>G50+G51-G37</f>
        <v>0</v>
      </c>
      <c r="H54" s="54">
        <f>H50+H51-H37</f>
        <v>0</v>
      </c>
      <c r="I54" s="54">
        <f>I50+I51-I37</f>
        <v>0</v>
      </c>
    </row>
  </sheetData>
  <mergeCells count="59">
    <mergeCell ref="A50:E50"/>
    <mergeCell ref="A51:E51"/>
    <mergeCell ref="A48:E48"/>
    <mergeCell ref="A49:E49"/>
    <mergeCell ref="E28:I29"/>
    <mergeCell ref="A32:A34"/>
    <mergeCell ref="B32:B34"/>
    <mergeCell ref="C32:C34"/>
    <mergeCell ref="D32:D34"/>
    <mergeCell ref="E32:I32"/>
    <mergeCell ref="A47:D47"/>
    <mergeCell ref="A39:K39"/>
    <mergeCell ref="R11:R12"/>
    <mergeCell ref="B15:B17"/>
    <mergeCell ref="J15:J17"/>
    <mergeCell ref="J24:J25"/>
    <mergeCell ref="E14:Q14"/>
    <mergeCell ref="Q11:Q12"/>
    <mergeCell ref="Q15:Q17"/>
    <mergeCell ref="E18:I20"/>
    <mergeCell ref="J18:J20"/>
    <mergeCell ref="A10:P10"/>
    <mergeCell ref="E11:E12"/>
    <mergeCell ref="F11:F12"/>
    <mergeCell ref="I11:I12"/>
    <mergeCell ref="G11:G12"/>
    <mergeCell ref="H11:H12"/>
    <mergeCell ref="J11:J12"/>
    <mergeCell ref="K11:K12"/>
    <mergeCell ref="L11:M11"/>
    <mergeCell ref="N11:P11"/>
    <mergeCell ref="A11:C11"/>
    <mergeCell ref="D11:D12"/>
    <mergeCell ref="A15:A17"/>
    <mergeCell ref="C15:C17"/>
    <mergeCell ref="D15:D17"/>
    <mergeCell ref="E15:I17"/>
    <mergeCell ref="A24:A27"/>
    <mergeCell ref="B24:B27"/>
    <mergeCell ref="C24:C27"/>
    <mergeCell ref="D24:D27"/>
    <mergeCell ref="E24:I25"/>
    <mergeCell ref="A18:A23"/>
    <mergeCell ref="B18:B23"/>
    <mergeCell ref="C18:C23"/>
    <mergeCell ref="D18:D23"/>
    <mergeCell ref="Q28:Q29"/>
    <mergeCell ref="A43:D43"/>
    <mergeCell ref="A44:D44"/>
    <mergeCell ref="A45:D45"/>
    <mergeCell ref="A46:D46"/>
    <mergeCell ref="A42:D42"/>
    <mergeCell ref="A28:A31"/>
    <mergeCell ref="B28:B31"/>
    <mergeCell ref="C28:C31"/>
    <mergeCell ref="D28:D31"/>
    <mergeCell ref="J28:J29"/>
    <mergeCell ref="A41:I41"/>
    <mergeCell ref="A38:K38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9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zoomScale="70" zoomScaleNormal="70" zoomScaleSheetLayoutView="85" workbookViewId="0">
      <pane ySplit="13" topLeftCell="A14" activePane="bottomLeft" state="frozen"/>
      <selection pane="bottomLeft" activeCell="A14" sqref="A14"/>
    </sheetView>
  </sheetViews>
  <sheetFormatPr defaultColWidth="9.140625" defaultRowHeight="12.75" x14ac:dyDescent="0.2"/>
  <cols>
    <col min="1" max="2" width="5" style="15" customWidth="1"/>
    <col min="3" max="4" width="5" style="10" customWidth="1"/>
    <col min="5" max="5" width="17.7109375" style="10" customWidth="1"/>
    <col min="6" max="6" width="13" style="10" customWidth="1"/>
    <col min="7" max="7" width="13" style="9" customWidth="1"/>
    <col min="8" max="9" width="13" style="10" customWidth="1"/>
    <col min="10" max="11" width="24.7109375" style="10" customWidth="1"/>
    <col min="12" max="12" width="49.7109375" style="10" customWidth="1"/>
    <col min="13" max="16" width="6.28515625" style="10" customWidth="1"/>
    <col min="17" max="17" width="32.7109375" style="10" customWidth="1"/>
    <col min="18" max="18" width="11.7109375" style="10" hidden="1" customWidth="1"/>
    <col min="19" max="19" width="9.140625" style="10" customWidth="1"/>
    <col min="20" max="16384" width="9.140625" style="10"/>
  </cols>
  <sheetData>
    <row r="1" spans="1:21" x14ac:dyDescent="0.2">
      <c r="L1" s="522"/>
      <c r="M1" s="522"/>
      <c r="N1" s="522"/>
      <c r="Q1" s="10" t="str">
        <f>'001'!Q1</f>
        <v>PATVIRTINTA</v>
      </c>
    </row>
    <row r="2" spans="1:21" x14ac:dyDescent="0.2">
      <c r="Q2" s="10" t="str">
        <f>'001'!Q2</f>
        <v>Plungės rajono savivaldybės tarybos</v>
      </c>
    </row>
    <row r="3" spans="1:21" x14ac:dyDescent="0.2">
      <c r="Q3" s="10" t="str">
        <f>'001'!Q3</f>
        <v>2026 m. vasario 12 d. sprendimu Nr. T1-</v>
      </c>
    </row>
    <row r="4" spans="1:21" hidden="1" x14ac:dyDescent="0.2">
      <c r="Q4" s="10" t="str">
        <f>'001'!Q4</f>
        <v xml:space="preserve">(2026 m. mėn. d. sprendimo Nr. </v>
      </c>
    </row>
    <row r="5" spans="1:21" hidden="1" x14ac:dyDescent="0.2">
      <c r="Q5" s="10" t="str">
        <f>'001'!Q5</f>
        <v>T1- redakcija)</v>
      </c>
    </row>
    <row r="6" spans="1:21" x14ac:dyDescent="0.2">
      <c r="Q6" s="10" t="str">
        <f>'001'!Q6</f>
        <v xml:space="preserve">Plungės rajono savivaldybės </v>
      </c>
    </row>
    <row r="7" spans="1:21" x14ac:dyDescent="0.2">
      <c r="L7" s="50"/>
      <c r="Q7" s="10" t="str">
        <f>'001'!Q7</f>
        <v>2026–2028 metų  strateginio veiklos plano</v>
      </c>
    </row>
    <row r="8" spans="1:21" x14ac:dyDescent="0.2">
      <c r="L8" s="50"/>
      <c r="Q8" s="10" t="s">
        <v>474</v>
      </c>
    </row>
    <row r="9" spans="1:21" x14ac:dyDescent="0.2">
      <c r="L9" s="50"/>
    </row>
    <row r="10" spans="1:21" ht="12.75" customHeight="1" x14ac:dyDescent="0.2">
      <c r="A10" s="525" t="s">
        <v>922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252" t="s">
        <v>244</v>
      </c>
      <c r="R10" s="253"/>
    </row>
    <row r="11" spans="1:21" ht="27" customHeight="1" x14ac:dyDescent="0.2">
      <c r="A11" s="442" t="str">
        <f>'001'!A11:R13</f>
        <v>Kodas</v>
      </c>
      <c r="B11" s="442"/>
      <c r="C11" s="442"/>
      <c r="D11" s="528" t="str">
        <f>'001'!D11:D12</f>
        <v>Uždavinio/ priemonės požymis *</v>
      </c>
      <c r="E11" s="442" t="str">
        <f>'001'!E11:E12</f>
        <v>Programos tikslo/uždavinio/priemonės pavadinimas ir finansavimo šaltiniai</v>
      </c>
      <c r="F11" s="442" t="str">
        <f>'001'!F11:F12</f>
        <v>2025-ųjų m. asignavimai ir kitos lėšos (2025-02-13 datai)</v>
      </c>
      <c r="G11" s="523" t="str">
        <f>'001'!G11:G12</f>
        <v>2026-ųjų m. asignavimai ir kitos lėšos</v>
      </c>
      <c r="H11" s="442" t="str">
        <f>'001'!H11:H12</f>
        <v>Planuojami 2027-ųjų m. asignavimai ir kitos lėšos</v>
      </c>
      <c r="I11" s="442" t="str">
        <f>'001'!I11:I12</f>
        <v>Planuojami 2028-ųjų m. asignavimai ir kitos lėšos</v>
      </c>
      <c r="J11" s="442" t="str">
        <f>'001'!J11:J12</f>
        <v>Savivaldybės strateginio plėtros plano tikslo/uždavinio kodas**</v>
      </c>
      <c r="K11" s="442" t="str">
        <f>'001'!K11:K12</f>
        <v>Stebėsenos rodiklio kodas</v>
      </c>
      <c r="L11" s="524" t="str">
        <f>'001'!L11:M11</f>
        <v>Stebėsenos rodiklio</v>
      </c>
      <c r="M11" s="524"/>
      <c r="N11" s="524" t="str">
        <f>'001'!N11:P11</f>
        <v>Siektinos stebėsenos rodiklių reikšmės</v>
      </c>
      <c r="O11" s="524"/>
      <c r="P11" s="524"/>
      <c r="Q11" s="524" t="str">
        <f>'001'!Q11:Q12</f>
        <v>Savivaldybės strateginio plėtros plano rodiklio kodas**</v>
      </c>
      <c r="R11" s="526" t="str">
        <f>'001'!R11:R12</f>
        <v>Asignavimų skirtumas (2024 m.- 2025 m.)</v>
      </c>
    </row>
    <row r="12" spans="1:21" ht="82.5" customHeight="1" x14ac:dyDescent="0.2">
      <c r="A12" s="254" t="str">
        <f>'001'!A12</f>
        <v>tikslo</v>
      </c>
      <c r="B12" s="254" t="str">
        <f>'001'!B12</f>
        <v>uždavinio</v>
      </c>
      <c r="C12" s="254" t="str">
        <f>'001'!C12</f>
        <v>priemonės</v>
      </c>
      <c r="D12" s="528"/>
      <c r="E12" s="442"/>
      <c r="F12" s="442"/>
      <c r="G12" s="523"/>
      <c r="H12" s="442"/>
      <c r="I12" s="442"/>
      <c r="J12" s="442"/>
      <c r="K12" s="442"/>
      <c r="L12" s="255" t="str">
        <f>'001'!L12</f>
        <v>pavadinimas</v>
      </c>
      <c r="M12" s="255" t="str">
        <f>'001'!M12</f>
        <v>mato vnt.</v>
      </c>
      <c r="N12" s="255">
        <f>'001'!N12</f>
        <v>2026</v>
      </c>
      <c r="O12" s="255">
        <f>'001'!O12</f>
        <v>2027</v>
      </c>
      <c r="P12" s="255">
        <f>'001'!P12</f>
        <v>2028</v>
      </c>
      <c r="Q12" s="524"/>
      <c r="R12" s="526"/>
    </row>
    <row r="13" spans="1:21" x14ac:dyDescent="0.2">
      <c r="A13" s="48">
        <f>'001'!A13</f>
        <v>1</v>
      </c>
      <c r="B13" s="48">
        <f>'001'!B13</f>
        <v>2</v>
      </c>
      <c r="C13" s="48">
        <f>'001'!C13</f>
        <v>3</v>
      </c>
      <c r="D13" s="48">
        <f>'001'!D13</f>
        <v>4</v>
      </c>
      <c r="E13" s="48">
        <f>'001'!E13</f>
        <v>5</v>
      </c>
      <c r="F13" s="48">
        <f>'001'!F13</f>
        <v>6</v>
      </c>
      <c r="G13" s="362">
        <f>'001'!G13</f>
        <v>7</v>
      </c>
      <c r="H13" s="48">
        <f>'001'!H13</f>
        <v>8</v>
      </c>
      <c r="I13" s="48">
        <f>'001'!I13</f>
        <v>9</v>
      </c>
      <c r="J13" s="48">
        <f>'001'!J13</f>
        <v>10</v>
      </c>
      <c r="K13" s="48">
        <f>'001'!K13</f>
        <v>11</v>
      </c>
      <c r="L13" s="48">
        <f>'001'!L13</f>
        <v>12</v>
      </c>
      <c r="M13" s="48">
        <f>'001'!M13</f>
        <v>13</v>
      </c>
      <c r="N13" s="48">
        <f>'001'!N13</f>
        <v>14</v>
      </c>
      <c r="O13" s="48">
        <f>'001'!O13</f>
        <v>15</v>
      </c>
      <c r="P13" s="48">
        <f>'001'!P13</f>
        <v>16</v>
      </c>
      <c r="Q13" s="48">
        <f>'001'!Q13</f>
        <v>17</v>
      </c>
      <c r="R13" s="48">
        <f>'001'!R13</f>
        <v>18</v>
      </c>
    </row>
    <row r="14" spans="1:21" s="259" customFormat="1" x14ac:dyDescent="0.2">
      <c r="A14" s="256" t="s">
        <v>0</v>
      </c>
      <c r="B14" s="257"/>
      <c r="C14" s="257"/>
      <c r="D14" s="257"/>
      <c r="E14" s="521" t="s">
        <v>473</v>
      </c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258"/>
    </row>
    <row r="15" spans="1:21" s="259" customFormat="1" ht="25.5" x14ac:dyDescent="0.2">
      <c r="A15" s="486" t="s">
        <v>0</v>
      </c>
      <c r="B15" s="487" t="s">
        <v>0</v>
      </c>
      <c r="C15" s="487"/>
      <c r="D15" s="487" t="s">
        <v>31</v>
      </c>
      <c r="E15" s="529" t="s">
        <v>847</v>
      </c>
      <c r="F15" s="529"/>
      <c r="G15" s="529"/>
      <c r="H15" s="529"/>
      <c r="I15" s="529"/>
      <c r="J15" s="487" t="s">
        <v>472</v>
      </c>
      <c r="K15" s="260" t="s">
        <v>471</v>
      </c>
      <c r="L15" s="260" t="s">
        <v>470</v>
      </c>
      <c r="M15" s="260" t="s">
        <v>11</v>
      </c>
      <c r="N15" s="249">
        <v>95</v>
      </c>
      <c r="O15" s="249">
        <v>95</v>
      </c>
      <c r="P15" s="249">
        <v>95</v>
      </c>
      <c r="Q15" s="527" t="s">
        <v>1015</v>
      </c>
      <c r="R15" s="258"/>
      <c r="S15" s="261"/>
      <c r="T15" s="261"/>
      <c r="U15" s="261"/>
    </row>
    <row r="16" spans="1:21" s="259" customFormat="1" ht="25.5" x14ac:dyDescent="0.2">
      <c r="A16" s="486"/>
      <c r="B16" s="487"/>
      <c r="C16" s="487"/>
      <c r="D16" s="487"/>
      <c r="E16" s="529"/>
      <c r="F16" s="529"/>
      <c r="G16" s="529"/>
      <c r="H16" s="529"/>
      <c r="I16" s="529"/>
      <c r="J16" s="487"/>
      <c r="K16" s="260" t="s">
        <v>469</v>
      </c>
      <c r="L16" s="260" t="s">
        <v>468</v>
      </c>
      <c r="M16" s="260" t="s">
        <v>11</v>
      </c>
      <c r="N16" s="249">
        <v>0.5</v>
      </c>
      <c r="O16" s="249">
        <v>0.5</v>
      </c>
      <c r="P16" s="249">
        <v>0.5</v>
      </c>
      <c r="Q16" s="527"/>
      <c r="R16" s="258"/>
    </row>
    <row r="17" spans="1:18" s="259" customFormat="1" ht="13.5" customHeight="1" x14ac:dyDescent="0.2">
      <c r="A17" s="486" t="s">
        <v>0</v>
      </c>
      <c r="B17" s="488" t="s">
        <v>0</v>
      </c>
      <c r="C17" s="499" t="s">
        <v>0</v>
      </c>
      <c r="D17" s="499" t="s">
        <v>21</v>
      </c>
      <c r="E17" s="500" t="s">
        <v>467</v>
      </c>
      <c r="F17" s="501"/>
      <c r="G17" s="501"/>
      <c r="H17" s="501"/>
      <c r="I17" s="502"/>
      <c r="J17" s="262" t="s">
        <v>19</v>
      </c>
      <c r="K17" s="263" t="s">
        <v>466</v>
      </c>
      <c r="L17" s="86" t="s">
        <v>465</v>
      </c>
      <c r="M17" s="263" t="s">
        <v>35</v>
      </c>
      <c r="N17" s="248">
        <v>450</v>
      </c>
      <c r="O17" s="248">
        <v>450</v>
      </c>
      <c r="P17" s="248">
        <v>450</v>
      </c>
      <c r="Q17" s="228" t="s">
        <v>19</v>
      </c>
      <c r="R17" s="258"/>
    </row>
    <row r="18" spans="1:18" s="259" customFormat="1" ht="38.25" x14ac:dyDescent="0.2">
      <c r="A18" s="486"/>
      <c r="B18" s="488"/>
      <c r="C18" s="499"/>
      <c r="D18" s="499"/>
      <c r="E18" s="506"/>
      <c r="F18" s="507"/>
      <c r="G18" s="507"/>
      <c r="H18" s="507"/>
      <c r="I18" s="508"/>
      <c r="J18" s="262" t="s">
        <v>19</v>
      </c>
      <c r="K18" s="263" t="s">
        <v>880</v>
      </c>
      <c r="L18" s="86" t="s">
        <v>900</v>
      </c>
      <c r="M18" s="263" t="s">
        <v>35</v>
      </c>
      <c r="N18" s="228">
        <v>1</v>
      </c>
      <c r="O18" s="228">
        <v>1</v>
      </c>
      <c r="P18" s="228">
        <v>1</v>
      </c>
      <c r="Q18" s="228" t="s">
        <v>19</v>
      </c>
      <c r="R18" s="258"/>
    </row>
    <row r="19" spans="1:18" s="259" customFormat="1" x14ac:dyDescent="0.2">
      <c r="A19" s="486"/>
      <c r="B19" s="488"/>
      <c r="C19" s="499"/>
      <c r="D19" s="499"/>
      <c r="E19" s="86" t="s">
        <v>15</v>
      </c>
      <c r="F19" s="31">
        <v>284.3</v>
      </c>
      <c r="G19" s="30">
        <v>273.7</v>
      </c>
      <c r="H19" s="94">
        <f>ROUND(G19*Lapas1!$A$1,1)</f>
        <v>298.3</v>
      </c>
      <c r="I19" s="94">
        <f>ROUND(H19*Lapas1!$A$2,1)</f>
        <v>337.1</v>
      </c>
      <c r="J19" s="264"/>
      <c r="K19" s="265"/>
      <c r="L19" s="266"/>
      <c r="M19" s="265"/>
      <c r="N19" s="267"/>
      <c r="O19" s="268"/>
      <c r="P19" s="268"/>
      <c r="Q19" s="268"/>
      <c r="R19" s="258"/>
    </row>
    <row r="20" spans="1:18" s="259" customFormat="1" x14ac:dyDescent="0.2">
      <c r="A20" s="486"/>
      <c r="B20" s="488"/>
      <c r="C20" s="499"/>
      <c r="D20" s="499"/>
      <c r="E20" s="239" t="s">
        <v>22</v>
      </c>
      <c r="F20" s="28">
        <f>SUM(F19:F19)</f>
        <v>284.3</v>
      </c>
      <c r="G20" s="28">
        <f t="shared" ref="G20:I20" si="0">SUM(G19:G19)</f>
        <v>273.7</v>
      </c>
      <c r="H20" s="28">
        <f t="shared" si="0"/>
        <v>298.3</v>
      </c>
      <c r="I20" s="28">
        <f t="shared" si="0"/>
        <v>337.1</v>
      </c>
      <c r="J20" s="264"/>
      <c r="K20" s="265"/>
      <c r="L20" s="266"/>
      <c r="M20" s="265"/>
      <c r="N20" s="267"/>
      <c r="O20" s="268"/>
      <c r="P20" s="268"/>
      <c r="Q20" s="268"/>
      <c r="R20" s="269">
        <f>(G20-F20)/F20</f>
        <v>-3.7284558564896313E-2</v>
      </c>
    </row>
    <row r="21" spans="1:18" s="259" customFormat="1" x14ac:dyDescent="0.2">
      <c r="A21" s="486" t="s">
        <v>0</v>
      </c>
      <c r="B21" s="488" t="s">
        <v>0</v>
      </c>
      <c r="C21" s="489" t="s">
        <v>10</v>
      </c>
      <c r="D21" s="489" t="s">
        <v>21</v>
      </c>
      <c r="E21" s="490" t="s">
        <v>464</v>
      </c>
      <c r="F21" s="490"/>
      <c r="G21" s="490"/>
      <c r="H21" s="490"/>
      <c r="I21" s="490"/>
      <c r="J21" s="499" t="s">
        <v>19</v>
      </c>
      <c r="K21" s="263" t="s">
        <v>463</v>
      </c>
      <c r="L21" s="86" t="s">
        <v>462</v>
      </c>
      <c r="M21" s="263" t="s">
        <v>35</v>
      </c>
      <c r="N21" s="248">
        <v>700</v>
      </c>
      <c r="O21" s="248">
        <v>700</v>
      </c>
      <c r="P21" s="248">
        <v>700</v>
      </c>
      <c r="Q21" s="228" t="s">
        <v>19</v>
      </c>
      <c r="R21" s="258"/>
    </row>
    <row r="22" spans="1:18" s="259" customFormat="1" x14ac:dyDescent="0.2">
      <c r="A22" s="486"/>
      <c r="B22" s="488"/>
      <c r="C22" s="489"/>
      <c r="D22" s="489"/>
      <c r="E22" s="490"/>
      <c r="F22" s="490"/>
      <c r="G22" s="490"/>
      <c r="H22" s="490"/>
      <c r="I22" s="490"/>
      <c r="J22" s="499"/>
      <c r="K22" s="263" t="s">
        <v>461</v>
      </c>
      <c r="L22" s="86" t="s">
        <v>870</v>
      </c>
      <c r="M22" s="263" t="s">
        <v>35</v>
      </c>
      <c r="N22" s="248">
        <v>1700</v>
      </c>
      <c r="O22" s="248">
        <v>1700</v>
      </c>
      <c r="P22" s="248">
        <v>1700</v>
      </c>
      <c r="Q22" s="228" t="s">
        <v>19</v>
      </c>
      <c r="R22" s="258"/>
    </row>
    <row r="23" spans="1:18" s="259" customFormat="1" x14ac:dyDescent="0.2">
      <c r="A23" s="486"/>
      <c r="B23" s="488"/>
      <c r="C23" s="489"/>
      <c r="D23" s="489"/>
      <c r="E23" s="86" t="s">
        <v>15</v>
      </c>
      <c r="F23" s="31">
        <v>820.6</v>
      </c>
      <c r="G23" s="30">
        <v>748.5</v>
      </c>
      <c r="H23" s="94">
        <f>ROUND(G23*Lapas1!$A$1,1)</f>
        <v>815.9</v>
      </c>
      <c r="I23" s="94">
        <f>ROUND(H23*Lapas1!$A$2,1)</f>
        <v>922</v>
      </c>
      <c r="J23" s="264"/>
      <c r="K23" s="265"/>
      <c r="L23" s="266"/>
      <c r="M23" s="265"/>
      <c r="N23" s="267"/>
      <c r="O23" s="268"/>
      <c r="P23" s="268"/>
      <c r="Q23" s="268"/>
      <c r="R23" s="258"/>
    </row>
    <row r="24" spans="1:18" s="259" customFormat="1" x14ac:dyDescent="0.2">
      <c r="A24" s="486"/>
      <c r="B24" s="488"/>
      <c r="C24" s="489"/>
      <c r="D24" s="489"/>
      <c r="E24" s="239" t="s">
        <v>22</v>
      </c>
      <c r="F24" s="28">
        <f>SUM(F23:F23)</f>
        <v>820.6</v>
      </c>
      <c r="G24" s="28">
        <f t="shared" ref="G24:I24" si="1">SUM(G23:G23)</f>
        <v>748.5</v>
      </c>
      <c r="H24" s="28">
        <f t="shared" si="1"/>
        <v>815.9</v>
      </c>
      <c r="I24" s="28">
        <f t="shared" si="1"/>
        <v>922</v>
      </c>
      <c r="J24" s="264"/>
      <c r="K24" s="265"/>
      <c r="L24" s="266"/>
      <c r="M24" s="265"/>
      <c r="N24" s="267"/>
      <c r="O24" s="268"/>
      <c r="P24" s="268"/>
      <c r="Q24" s="268"/>
      <c r="R24" s="269">
        <f>(G24-F24)/F24</f>
        <v>-8.7862539605166975E-2</v>
      </c>
    </row>
    <row r="25" spans="1:18" s="259" customFormat="1" x14ac:dyDescent="0.2">
      <c r="A25" s="486" t="s">
        <v>0</v>
      </c>
      <c r="B25" s="488" t="s">
        <v>0</v>
      </c>
      <c r="C25" s="489" t="s">
        <v>24</v>
      </c>
      <c r="D25" s="489" t="s">
        <v>21</v>
      </c>
      <c r="E25" s="490" t="s">
        <v>798</v>
      </c>
      <c r="F25" s="490"/>
      <c r="G25" s="490"/>
      <c r="H25" s="490"/>
      <c r="I25" s="490"/>
      <c r="J25" s="499" t="s">
        <v>19</v>
      </c>
      <c r="K25" s="263" t="s">
        <v>882</v>
      </c>
      <c r="L25" s="382" t="s">
        <v>959</v>
      </c>
      <c r="M25" s="263" t="s">
        <v>35</v>
      </c>
      <c r="N25" s="248">
        <v>110</v>
      </c>
      <c r="O25" s="248">
        <v>110</v>
      </c>
      <c r="P25" s="248">
        <v>110</v>
      </c>
      <c r="Q25" s="248" t="s">
        <v>19</v>
      </c>
      <c r="R25" s="258"/>
    </row>
    <row r="26" spans="1:18" s="259" customFormat="1" x14ac:dyDescent="0.2">
      <c r="A26" s="486"/>
      <c r="B26" s="488"/>
      <c r="C26" s="489"/>
      <c r="D26" s="489"/>
      <c r="E26" s="490"/>
      <c r="F26" s="490"/>
      <c r="G26" s="490"/>
      <c r="H26" s="490"/>
      <c r="I26" s="490"/>
      <c r="J26" s="499"/>
      <c r="K26" s="263" t="s">
        <v>460</v>
      </c>
      <c r="L26" s="383" t="s">
        <v>459</v>
      </c>
      <c r="M26" s="263" t="s">
        <v>35</v>
      </c>
      <c r="N26" s="248">
        <v>10</v>
      </c>
      <c r="O26" s="248">
        <v>10</v>
      </c>
      <c r="P26" s="248">
        <v>10</v>
      </c>
      <c r="Q26" s="248" t="s">
        <v>19</v>
      </c>
      <c r="R26" s="258"/>
    </row>
    <row r="27" spans="1:18" s="259" customFormat="1" ht="25.5" x14ac:dyDescent="0.2">
      <c r="A27" s="486"/>
      <c r="B27" s="488"/>
      <c r="C27" s="489"/>
      <c r="D27" s="489"/>
      <c r="E27" s="490"/>
      <c r="F27" s="490"/>
      <c r="G27" s="490"/>
      <c r="H27" s="490"/>
      <c r="I27" s="490"/>
      <c r="J27" s="499"/>
      <c r="K27" s="263" t="s">
        <v>988</v>
      </c>
      <c r="L27" s="382" t="s">
        <v>960</v>
      </c>
      <c r="M27" s="263" t="s">
        <v>35</v>
      </c>
      <c r="N27" s="248">
        <v>330</v>
      </c>
      <c r="O27" s="248">
        <v>330</v>
      </c>
      <c r="P27" s="248">
        <v>330</v>
      </c>
      <c r="Q27" s="248" t="s">
        <v>19</v>
      </c>
      <c r="R27" s="258"/>
    </row>
    <row r="28" spans="1:18" s="259" customFormat="1" ht="13.5" x14ac:dyDescent="0.2">
      <c r="A28" s="486"/>
      <c r="B28" s="488"/>
      <c r="C28" s="489"/>
      <c r="D28" s="489"/>
      <c r="E28" s="86" t="s">
        <v>14</v>
      </c>
      <c r="F28" s="347"/>
      <c r="G28" s="30">
        <v>240</v>
      </c>
      <c r="H28" s="94">
        <f>ROUND(G28*Lapas1!$A$1,1)</f>
        <v>261.60000000000002</v>
      </c>
      <c r="I28" s="94">
        <f>ROUND(H28*Lapas1!$A$2,1)</f>
        <v>295.60000000000002</v>
      </c>
      <c r="J28" s="264"/>
      <c r="K28" s="265"/>
      <c r="L28" s="266"/>
      <c r="M28" s="265"/>
      <c r="N28" s="267"/>
      <c r="O28" s="268"/>
      <c r="P28" s="268"/>
      <c r="Q28" s="268"/>
      <c r="R28" s="258"/>
    </row>
    <row r="29" spans="1:18" s="259" customFormat="1" x14ac:dyDescent="0.2">
      <c r="A29" s="486"/>
      <c r="B29" s="488"/>
      <c r="C29" s="489"/>
      <c r="D29" s="489"/>
      <c r="E29" s="86" t="s">
        <v>15</v>
      </c>
      <c r="F29" s="31">
        <f>2370.4+60.6</f>
        <v>2431</v>
      </c>
      <c r="G29" s="30">
        <v>2168</v>
      </c>
      <c r="H29" s="94">
        <f>ROUND(G29*Lapas1!$A$1,1)</f>
        <v>2363.1</v>
      </c>
      <c r="I29" s="94">
        <f>ROUND(H29*Lapas1!$A$2,1)</f>
        <v>2670.3</v>
      </c>
      <c r="J29" s="264"/>
      <c r="K29" s="265"/>
      <c r="L29" s="266"/>
      <c r="M29" s="265"/>
      <c r="N29" s="267"/>
      <c r="O29" s="268"/>
      <c r="P29" s="268"/>
      <c r="Q29" s="268"/>
      <c r="R29" s="258"/>
    </row>
    <row r="30" spans="1:18" s="259" customFormat="1" x14ac:dyDescent="0.2">
      <c r="A30" s="486"/>
      <c r="B30" s="488"/>
      <c r="C30" s="489"/>
      <c r="D30" s="489"/>
      <c r="E30" s="239" t="s">
        <v>22</v>
      </c>
      <c r="F30" s="28">
        <f>SUM(F28:F29)</f>
        <v>2431</v>
      </c>
      <c r="G30" s="28">
        <f t="shared" ref="G30:I30" si="2">SUM(G28:G29)</f>
        <v>2408</v>
      </c>
      <c r="H30" s="28">
        <f t="shared" si="2"/>
        <v>2624.7</v>
      </c>
      <c r="I30" s="28">
        <f t="shared" si="2"/>
        <v>2965.9</v>
      </c>
      <c r="J30" s="264"/>
      <c r="K30" s="265"/>
      <c r="L30" s="266"/>
      <c r="M30" s="265"/>
      <c r="N30" s="267"/>
      <c r="O30" s="268"/>
      <c r="P30" s="268"/>
      <c r="Q30" s="268"/>
      <c r="R30" s="269">
        <f>(G30-F30)/F30</f>
        <v>-9.4611271081859322E-3</v>
      </c>
    </row>
    <row r="31" spans="1:18" s="259" customFormat="1" ht="27.75" customHeight="1" x14ac:dyDescent="0.2">
      <c r="A31" s="486" t="s">
        <v>0</v>
      </c>
      <c r="B31" s="488" t="s">
        <v>0</v>
      </c>
      <c r="C31" s="489" t="s">
        <v>25</v>
      </c>
      <c r="D31" s="489" t="s">
        <v>21</v>
      </c>
      <c r="E31" s="490" t="s">
        <v>816</v>
      </c>
      <c r="F31" s="490"/>
      <c r="G31" s="490"/>
      <c r="H31" s="490"/>
      <c r="I31" s="490"/>
      <c r="J31" s="262" t="s">
        <v>19</v>
      </c>
      <c r="K31" s="263" t="s">
        <v>458</v>
      </c>
      <c r="L31" s="380" t="s">
        <v>961</v>
      </c>
      <c r="M31" s="263" t="s">
        <v>35</v>
      </c>
      <c r="N31" s="248">
        <v>190</v>
      </c>
      <c r="O31" s="248">
        <v>195</v>
      </c>
      <c r="P31" s="248">
        <v>195</v>
      </c>
      <c r="Q31" s="248" t="s">
        <v>19</v>
      </c>
      <c r="R31" s="258"/>
    </row>
    <row r="32" spans="1:18" s="259" customFormat="1" x14ac:dyDescent="0.2">
      <c r="A32" s="486"/>
      <c r="B32" s="488"/>
      <c r="C32" s="489"/>
      <c r="D32" s="489"/>
      <c r="E32" s="86" t="s">
        <v>14</v>
      </c>
      <c r="F32" s="31">
        <v>51.4</v>
      </c>
      <c r="G32" s="30">
        <v>59.1</v>
      </c>
      <c r="H32" s="94">
        <f>ROUND(G32*Lapas1!$A$1,1)</f>
        <v>64.400000000000006</v>
      </c>
      <c r="I32" s="94">
        <f>ROUND(H32*Lapas1!$A$2,1)</f>
        <v>72.8</v>
      </c>
      <c r="J32" s="264"/>
      <c r="K32" s="265"/>
      <c r="L32" s="266"/>
      <c r="M32" s="265"/>
      <c r="N32" s="267"/>
      <c r="O32" s="268"/>
      <c r="P32" s="268"/>
      <c r="Q32" s="268"/>
      <c r="R32" s="258"/>
    </row>
    <row r="33" spans="1:18" s="259" customFormat="1" x14ac:dyDescent="0.2">
      <c r="A33" s="486"/>
      <c r="B33" s="488"/>
      <c r="C33" s="489"/>
      <c r="D33" s="489"/>
      <c r="E33" s="86" t="s">
        <v>15</v>
      </c>
      <c r="F33" s="31">
        <v>89.906999999999996</v>
      </c>
      <c r="G33" s="30">
        <v>82.584000000000003</v>
      </c>
      <c r="H33" s="94">
        <f>ROUND(G33*Lapas1!$A$1,1)</f>
        <v>90</v>
      </c>
      <c r="I33" s="94">
        <f>ROUND(H33*Lapas1!$A$2,1)</f>
        <v>101.7</v>
      </c>
      <c r="J33" s="264"/>
      <c r="K33" s="265"/>
      <c r="L33" s="266"/>
      <c r="M33" s="265"/>
      <c r="N33" s="267"/>
      <c r="O33" s="268"/>
      <c r="P33" s="268"/>
      <c r="Q33" s="268"/>
      <c r="R33" s="258"/>
    </row>
    <row r="34" spans="1:18" s="259" customFormat="1" x14ac:dyDescent="0.2">
      <c r="A34" s="486"/>
      <c r="B34" s="488"/>
      <c r="C34" s="489"/>
      <c r="D34" s="489"/>
      <c r="E34" s="239" t="s">
        <v>22</v>
      </c>
      <c r="F34" s="28">
        <f>SUM(F32:F33)</f>
        <v>141.30699999999999</v>
      </c>
      <c r="G34" s="28">
        <f t="shared" ref="G34:I34" si="3">SUM(G32:G33)</f>
        <v>141.684</v>
      </c>
      <c r="H34" s="28">
        <f t="shared" si="3"/>
        <v>154.4</v>
      </c>
      <c r="I34" s="28">
        <f t="shared" si="3"/>
        <v>174.5</v>
      </c>
      <c r="J34" s="264"/>
      <c r="K34" s="265"/>
      <c r="L34" s="266"/>
      <c r="M34" s="265"/>
      <c r="N34" s="267"/>
      <c r="O34" s="268"/>
      <c r="P34" s="268"/>
      <c r="Q34" s="268"/>
      <c r="R34" s="269">
        <f>(G34-F34)/F34</f>
        <v>2.6679499246322516E-3</v>
      </c>
    </row>
    <row r="35" spans="1:18" s="259" customFormat="1" x14ac:dyDescent="0.2">
      <c r="A35" s="486" t="s">
        <v>0</v>
      </c>
      <c r="B35" s="488" t="s">
        <v>0</v>
      </c>
      <c r="C35" s="489" t="s">
        <v>26</v>
      </c>
      <c r="D35" s="489" t="s">
        <v>21</v>
      </c>
      <c r="E35" s="490" t="s">
        <v>456</v>
      </c>
      <c r="F35" s="490"/>
      <c r="G35" s="490"/>
      <c r="H35" s="490"/>
      <c r="I35" s="490"/>
      <c r="J35" s="499" t="s">
        <v>19</v>
      </c>
      <c r="K35" s="263" t="s">
        <v>455</v>
      </c>
      <c r="L35" s="86" t="s">
        <v>454</v>
      </c>
      <c r="M35" s="263" t="s">
        <v>35</v>
      </c>
      <c r="N35" s="228">
        <v>21</v>
      </c>
      <c r="O35" s="228">
        <v>22</v>
      </c>
      <c r="P35" s="228">
        <v>22</v>
      </c>
      <c r="Q35" s="228" t="s">
        <v>19</v>
      </c>
      <c r="R35" s="258"/>
    </row>
    <row r="36" spans="1:18" s="259" customFormat="1" x14ac:dyDescent="0.2">
      <c r="A36" s="486"/>
      <c r="B36" s="488"/>
      <c r="C36" s="489"/>
      <c r="D36" s="489"/>
      <c r="E36" s="490"/>
      <c r="F36" s="490"/>
      <c r="G36" s="490"/>
      <c r="H36" s="490"/>
      <c r="I36" s="490"/>
      <c r="J36" s="499"/>
      <c r="K36" s="263" t="s">
        <v>453</v>
      </c>
      <c r="L36" s="86" t="s">
        <v>452</v>
      </c>
      <c r="M36" s="263" t="s">
        <v>12</v>
      </c>
      <c r="N36" s="228">
        <v>15000</v>
      </c>
      <c r="O36" s="228">
        <v>15000</v>
      </c>
      <c r="P36" s="228">
        <v>15000</v>
      </c>
      <c r="Q36" s="228" t="s">
        <v>19</v>
      </c>
      <c r="R36" s="258"/>
    </row>
    <row r="37" spans="1:18" s="259" customFormat="1" ht="25.5" x14ac:dyDescent="0.2">
      <c r="A37" s="486"/>
      <c r="B37" s="488"/>
      <c r="C37" s="489"/>
      <c r="D37" s="489"/>
      <c r="E37" s="490"/>
      <c r="F37" s="490"/>
      <c r="G37" s="490"/>
      <c r="H37" s="490"/>
      <c r="I37" s="490"/>
      <c r="J37" s="499"/>
      <c r="K37" s="263" t="s">
        <v>451</v>
      </c>
      <c r="L37" s="86" t="s">
        <v>883</v>
      </c>
      <c r="M37" s="263" t="s">
        <v>449</v>
      </c>
      <c r="N37" s="228">
        <v>200</v>
      </c>
      <c r="O37" s="228">
        <v>200</v>
      </c>
      <c r="P37" s="228">
        <v>200</v>
      </c>
      <c r="Q37" s="228" t="s">
        <v>19</v>
      </c>
      <c r="R37" s="258"/>
    </row>
    <row r="38" spans="1:18" s="259" customFormat="1" ht="25.5" x14ac:dyDescent="0.2">
      <c r="A38" s="486"/>
      <c r="B38" s="488"/>
      <c r="C38" s="489"/>
      <c r="D38" s="489"/>
      <c r="E38" s="490"/>
      <c r="F38" s="490"/>
      <c r="G38" s="490"/>
      <c r="H38" s="490"/>
      <c r="I38" s="490"/>
      <c r="J38" s="499"/>
      <c r="K38" s="263" t="s">
        <v>450</v>
      </c>
      <c r="L38" s="86" t="s">
        <v>884</v>
      </c>
      <c r="M38" s="263" t="s">
        <v>449</v>
      </c>
      <c r="N38" s="228">
        <v>250</v>
      </c>
      <c r="O38" s="228">
        <v>250</v>
      </c>
      <c r="P38" s="228">
        <v>250</v>
      </c>
      <c r="Q38" s="228" t="s">
        <v>19</v>
      </c>
      <c r="R38" s="258"/>
    </row>
    <row r="39" spans="1:18" s="259" customFormat="1" x14ac:dyDescent="0.2">
      <c r="A39" s="486"/>
      <c r="B39" s="488"/>
      <c r="C39" s="489"/>
      <c r="D39" s="489"/>
      <c r="E39" s="490"/>
      <c r="F39" s="490"/>
      <c r="G39" s="490"/>
      <c r="H39" s="490"/>
      <c r="I39" s="490"/>
      <c r="J39" s="499"/>
      <c r="K39" s="263" t="s">
        <v>448</v>
      </c>
      <c r="L39" s="86" t="s">
        <v>447</v>
      </c>
      <c r="M39" s="263" t="s">
        <v>12</v>
      </c>
      <c r="N39" s="228">
        <v>1700</v>
      </c>
      <c r="O39" s="228">
        <v>1900</v>
      </c>
      <c r="P39" s="228">
        <v>2000</v>
      </c>
      <c r="Q39" s="228" t="s">
        <v>19</v>
      </c>
      <c r="R39" s="258"/>
    </row>
    <row r="40" spans="1:18" s="259" customFormat="1" x14ac:dyDescent="0.2">
      <c r="A40" s="486"/>
      <c r="B40" s="488"/>
      <c r="C40" s="489"/>
      <c r="D40" s="489"/>
      <c r="E40" s="490"/>
      <c r="F40" s="490"/>
      <c r="G40" s="490"/>
      <c r="H40" s="490"/>
      <c r="I40" s="490"/>
      <c r="J40" s="499"/>
      <c r="K40" s="263" t="s">
        <v>446</v>
      </c>
      <c r="L40" s="86" t="s">
        <v>445</v>
      </c>
      <c r="M40" s="263" t="s">
        <v>12</v>
      </c>
      <c r="N40" s="228">
        <v>24</v>
      </c>
      <c r="O40" s="228">
        <v>25</v>
      </c>
      <c r="P40" s="228">
        <v>25</v>
      </c>
      <c r="Q40" s="228" t="s">
        <v>19</v>
      </c>
      <c r="R40" s="258"/>
    </row>
    <row r="41" spans="1:18" s="259" customFormat="1" x14ac:dyDescent="0.2">
      <c r="A41" s="486"/>
      <c r="B41" s="488"/>
      <c r="C41" s="489"/>
      <c r="D41" s="489"/>
      <c r="E41" s="86" t="s">
        <v>15</v>
      </c>
      <c r="F41" s="31">
        <v>372.24</v>
      </c>
      <c r="G41" s="30">
        <v>378.54</v>
      </c>
      <c r="H41" s="94">
        <f>ROUND(G41*Lapas1!$A$1,1)</f>
        <v>412.6</v>
      </c>
      <c r="I41" s="94">
        <f>ROUND(H41*Lapas1!$A$2,1)</f>
        <v>466.2</v>
      </c>
      <c r="J41" s="264"/>
      <c r="K41" s="265"/>
      <c r="L41" s="266"/>
      <c r="M41" s="265"/>
      <c r="N41" s="267"/>
      <c r="O41" s="268"/>
      <c r="P41" s="268"/>
      <c r="Q41" s="268"/>
      <c r="R41" s="258"/>
    </row>
    <row r="42" spans="1:18" s="259" customFormat="1" x14ac:dyDescent="0.2">
      <c r="A42" s="486"/>
      <c r="B42" s="488"/>
      <c r="C42" s="489"/>
      <c r="D42" s="489"/>
      <c r="E42" s="239" t="s">
        <v>22</v>
      </c>
      <c r="F42" s="28">
        <f>SUM(F41:F41)</f>
        <v>372.24</v>
      </c>
      <c r="G42" s="28">
        <f t="shared" ref="G42:I42" si="4">SUM(G41:G41)</f>
        <v>378.54</v>
      </c>
      <c r="H42" s="28">
        <f t="shared" si="4"/>
        <v>412.6</v>
      </c>
      <c r="I42" s="28">
        <f t="shared" si="4"/>
        <v>466.2</v>
      </c>
      <c r="J42" s="264"/>
      <c r="K42" s="265"/>
      <c r="L42" s="266"/>
      <c r="M42" s="265"/>
      <c r="N42" s="267"/>
      <c r="O42" s="268"/>
      <c r="P42" s="268"/>
      <c r="Q42" s="268"/>
      <c r="R42" s="269">
        <f>(G42-F42)/F42</f>
        <v>1.6924564796905253E-2</v>
      </c>
    </row>
    <row r="43" spans="1:18" s="259" customFormat="1" ht="13.5" x14ac:dyDescent="0.2">
      <c r="A43" s="486" t="s">
        <v>0</v>
      </c>
      <c r="B43" s="488" t="s">
        <v>0</v>
      </c>
      <c r="C43" s="489" t="s">
        <v>27</v>
      </c>
      <c r="D43" s="489" t="s">
        <v>21</v>
      </c>
      <c r="E43" s="490" t="s">
        <v>444</v>
      </c>
      <c r="F43" s="490"/>
      <c r="G43" s="490"/>
      <c r="H43" s="490"/>
      <c r="I43" s="490"/>
      <c r="J43" s="262" t="s">
        <v>19</v>
      </c>
      <c r="K43" s="263" t="s">
        <v>443</v>
      </c>
      <c r="L43" s="86" t="s">
        <v>442</v>
      </c>
      <c r="M43" s="263" t="s">
        <v>35</v>
      </c>
      <c r="N43" s="228">
        <v>44</v>
      </c>
      <c r="O43" s="228">
        <v>45</v>
      </c>
      <c r="P43" s="228">
        <v>45</v>
      </c>
      <c r="Q43" s="228" t="s">
        <v>19</v>
      </c>
      <c r="R43" s="258"/>
    </row>
    <row r="44" spans="1:18" s="259" customFormat="1" x14ac:dyDescent="0.2">
      <c r="A44" s="486"/>
      <c r="B44" s="488"/>
      <c r="C44" s="489"/>
      <c r="D44" s="489"/>
      <c r="E44" s="86" t="s">
        <v>15</v>
      </c>
      <c r="F44" s="31">
        <v>37.6</v>
      </c>
      <c r="G44" s="30">
        <v>38.4</v>
      </c>
      <c r="H44" s="94">
        <f>ROUND(G44*Lapas1!$A$1,1)</f>
        <v>41.9</v>
      </c>
      <c r="I44" s="94">
        <f>ROUND(H44*Lapas1!$A$2,1)</f>
        <v>47.3</v>
      </c>
      <c r="J44" s="264"/>
      <c r="K44" s="265"/>
      <c r="L44" s="266"/>
      <c r="M44" s="265"/>
      <c r="N44" s="267"/>
      <c r="O44" s="268"/>
      <c r="P44" s="268"/>
      <c r="Q44" s="268"/>
      <c r="R44" s="258"/>
    </row>
    <row r="45" spans="1:18" s="259" customFormat="1" x14ac:dyDescent="0.2">
      <c r="A45" s="486"/>
      <c r="B45" s="488"/>
      <c r="C45" s="489"/>
      <c r="D45" s="489"/>
      <c r="E45" s="239" t="s">
        <v>22</v>
      </c>
      <c r="F45" s="28">
        <f>SUM(F44:F44)</f>
        <v>37.6</v>
      </c>
      <c r="G45" s="28">
        <f t="shared" ref="G45:I45" si="5">SUM(G44:G44)</f>
        <v>38.4</v>
      </c>
      <c r="H45" s="28">
        <f t="shared" si="5"/>
        <v>41.9</v>
      </c>
      <c r="I45" s="28">
        <f t="shared" si="5"/>
        <v>47.3</v>
      </c>
      <c r="J45" s="264"/>
      <c r="K45" s="265"/>
      <c r="L45" s="266"/>
      <c r="M45" s="265"/>
      <c r="N45" s="267"/>
      <c r="O45" s="268"/>
      <c r="P45" s="268"/>
      <c r="Q45" s="268"/>
      <c r="R45" s="269">
        <f>(G45-F45)/F45</f>
        <v>2.1276595744680774E-2</v>
      </c>
    </row>
    <row r="46" spans="1:18" s="259" customFormat="1" ht="25.5" x14ac:dyDescent="0.2">
      <c r="A46" s="486" t="s">
        <v>0</v>
      </c>
      <c r="B46" s="488" t="s">
        <v>0</v>
      </c>
      <c r="C46" s="489" t="s">
        <v>28</v>
      </c>
      <c r="D46" s="489" t="s">
        <v>21</v>
      </c>
      <c r="E46" s="500" t="s">
        <v>441</v>
      </c>
      <c r="F46" s="501"/>
      <c r="G46" s="501"/>
      <c r="H46" s="501"/>
      <c r="I46" s="502"/>
      <c r="J46" s="262" t="s">
        <v>19</v>
      </c>
      <c r="K46" s="263" t="s">
        <v>440</v>
      </c>
      <c r="L46" s="86" t="s">
        <v>867</v>
      </c>
      <c r="M46" s="263" t="s">
        <v>12</v>
      </c>
      <c r="N46" s="248">
        <v>73</v>
      </c>
      <c r="O46" s="248">
        <v>73</v>
      </c>
      <c r="P46" s="248">
        <v>73</v>
      </c>
      <c r="Q46" s="248" t="s">
        <v>19</v>
      </c>
      <c r="R46" s="258"/>
    </row>
    <row r="47" spans="1:18" s="259" customFormat="1" ht="25.5" x14ac:dyDescent="0.2">
      <c r="A47" s="486"/>
      <c r="B47" s="488"/>
      <c r="C47" s="489"/>
      <c r="D47" s="489"/>
      <c r="E47" s="503"/>
      <c r="F47" s="504"/>
      <c r="G47" s="504"/>
      <c r="H47" s="504"/>
      <c r="I47" s="505"/>
      <c r="J47" s="262" t="s">
        <v>19</v>
      </c>
      <c r="K47" s="263" t="s">
        <v>865</v>
      </c>
      <c r="L47" s="86" t="s">
        <v>868</v>
      </c>
      <c r="M47" s="263" t="s">
        <v>12</v>
      </c>
      <c r="N47" s="248">
        <v>73</v>
      </c>
      <c r="O47" s="248">
        <v>73</v>
      </c>
      <c r="P47" s="248">
        <v>73</v>
      </c>
      <c r="Q47" s="248" t="s">
        <v>19</v>
      </c>
      <c r="R47" s="258"/>
    </row>
    <row r="48" spans="1:18" s="259" customFormat="1" ht="25.5" x14ac:dyDescent="0.2">
      <c r="A48" s="486"/>
      <c r="B48" s="488"/>
      <c r="C48" s="489"/>
      <c r="D48" s="489"/>
      <c r="E48" s="506"/>
      <c r="F48" s="507"/>
      <c r="G48" s="507"/>
      <c r="H48" s="507"/>
      <c r="I48" s="508"/>
      <c r="J48" s="262" t="s">
        <v>19</v>
      </c>
      <c r="K48" s="263" t="s">
        <v>866</v>
      </c>
      <c r="L48" s="86" t="s">
        <v>869</v>
      </c>
      <c r="M48" s="263" t="s">
        <v>12</v>
      </c>
      <c r="N48" s="248">
        <v>1</v>
      </c>
      <c r="O48" s="248">
        <v>1</v>
      </c>
      <c r="P48" s="248">
        <v>1</v>
      </c>
      <c r="Q48" s="248" t="s">
        <v>19</v>
      </c>
      <c r="R48" s="258"/>
    </row>
    <row r="49" spans="1:18" s="259" customFormat="1" x14ac:dyDescent="0.2">
      <c r="A49" s="486"/>
      <c r="B49" s="488"/>
      <c r="C49" s="489"/>
      <c r="D49" s="489"/>
      <c r="E49" s="86" t="s">
        <v>15</v>
      </c>
      <c r="F49" s="31">
        <v>4.3</v>
      </c>
      <c r="G49" s="30">
        <v>3.2</v>
      </c>
      <c r="H49" s="94">
        <f>ROUND(G49*Lapas1!$A$1,1)</f>
        <v>3.5</v>
      </c>
      <c r="I49" s="94">
        <f>ROUND(H49*Lapas1!$A$2,1)</f>
        <v>4</v>
      </c>
      <c r="J49" s="264"/>
      <c r="K49" s="265"/>
      <c r="L49" s="266"/>
      <c r="M49" s="265"/>
      <c r="N49" s="267"/>
      <c r="O49" s="268"/>
      <c r="P49" s="268"/>
      <c r="Q49" s="268"/>
      <c r="R49" s="258"/>
    </row>
    <row r="50" spans="1:18" s="259" customFormat="1" x14ac:dyDescent="0.2">
      <c r="A50" s="486"/>
      <c r="B50" s="488"/>
      <c r="C50" s="489"/>
      <c r="D50" s="489"/>
      <c r="E50" s="239" t="s">
        <v>22</v>
      </c>
      <c r="F50" s="28">
        <f>SUM(F49:F49)</f>
        <v>4.3</v>
      </c>
      <c r="G50" s="28">
        <f t="shared" ref="G50:I50" si="6">SUM(G49:G49)</f>
        <v>3.2</v>
      </c>
      <c r="H50" s="28">
        <f t="shared" si="6"/>
        <v>3.5</v>
      </c>
      <c r="I50" s="28">
        <f t="shared" si="6"/>
        <v>4</v>
      </c>
      <c r="J50" s="264"/>
      <c r="K50" s="265"/>
      <c r="L50" s="266"/>
      <c r="M50" s="265"/>
      <c r="N50" s="267"/>
      <c r="O50" s="268"/>
      <c r="P50" s="268"/>
      <c r="Q50" s="268"/>
      <c r="R50" s="269">
        <f>(G50-F50)/F50</f>
        <v>-0.25581395348837205</v>
      </c>
    </row>
    <row r="51" spans="1:18" s="259" customFormat="1" ht="13.5" x14ac:dyDescent="0.2">
      <c r="A51" s="486" t="s">
        <v>0</v>
      </c>
      <c r="B51" s="488" t="s">
        <v>0</v>
      </c>
      <c r="C51" s="489" t="s">
        <v>75</v>
      </c>
      <c r="D51" s="489" t="s">
        <v>21</v>
      </c>
      <c r="E51" s="490" t="s">
        <v>439</v>
      </c>
      <c r="F51" s="490"/>
      <c r="G51" s="490"/>
      <c r="H51" s="490"/>
      <c r="I51" s="490"/>
      <c r="J51" s="262" t="s">
        <v>19</v>
      </c>
      <c r="K51" s="263" t="s">
        <v>438</v>
      </c>
      <c r="L51" s="86" t="s">
        <v>437</v>
      </c>
      <c r="M51" s="263" t="s">
        <v>35</v>
      </c>
      <c r="N51" s="248">
        <v>100</v>
      </c>
      <c r="O51" s="248">
        <v>100</v>
      </c>
      <c r="P51" s="248">
        <v>100</v>
      </c>
      <c r="Q51" s="248" t="s">
        <v>19</v>
      </c>
      <c r="R51" s="258"/>
    </row>
    <row r="52" spans="1:18" s="259" customFormat="1" x14ac:dyDescent="0.2">
      <c r="A52" s="486"/>
      <c r="B52" s="488"/>
      <c r="C52" s="489"/>
      <c r="D52" s="489"/>
      <c r="E52" s="86" t="s">
        <v>15</v>
      </c>
      <c r="F52" s="31">
        <v>95</v>
      </c>
      <c r="G52" s="30">
        <v>115</v>
      </c>
      <c r="H52" s="94">
        <f>ROUND(G52*Lapas1!$A$1,1)</f>
        <v>125.4</v>
      </c>
      <c r="I52" s="94">
        <f>ROUND(H52*Lapas1!$A$2,1)</f>
        <v>141.69999999999999</v>
      </c>
      <c r="J52" s="264"/>
      <c r="K52" s="265"/>
      <c r="L52" s="266"/>
      <c r="M52" s="265"/>
      <c r="N52" s="267"/>
      <c r="O52" s="268"/>
      <c r="P52" s="268"/>
      <c r="Q52" s="268"/>
      <c r="R52" s="258"/>
    </row>
    <row r="53" spans="1:18" s="259" customFormat="1" x14ac:dyDescent="0.2">
      <c r="A53" s="486"/>
      <c r="B53" s="488"/>
      <c r="C53" s="489"/>
      <c r="D53" s="489"/>
      <c r="E53" s="239" t="s">
        <v>22</v>
      </c>
      <c r="F53" s="28">
        <f>SUM(F52:F52)</f>
        <v>95</v>
      </c>
      <c r="G53" s="28">
        <f t="shared" ref="G53:I53" si="7">SUM(G52:G52)</f>
        <v>115</v>
      </c>
      <c r="H53" s="28">
        <f t="shared" si="7"/>
        <v>125.4</v>
      </c>
      <c r="I53" s="28">
        <f t="shared" si="7"/>
        <v>141.69999999999999</v>
      </c>
      <c r="J53" s="264"/>
      <c r="K53" s="265"/>
      <c r="L53" s="266"/>
      <c r="M53" s="265"/>
      <c r="N53" s="267"/>
      <c r="O53" s="268"/>
      <c r="P53" s="268"/>
      <c r="Q53" s="268"/>
      <c r="R53" s="269">
        <f>(G53-F53)/F53</f>
        <v>0.21052631578947367</v>
      </c>
    </row>
    <row r="54" spans="1:18" s="259" customFormat="1" ht="12.75" customHeight="1" x14ac:dyDescent="0.2">
      <c r="A54" s="486" t="s">
        <v>0</v>
      </c>
      <c r="B54" s="488" t="s">
        <v>0</v>
      </c>
      <c r="C54" s="489" t="s">
        <v>104</v>
      </c>
      <c r="D54" s="489" t="s">
        <v>21</v>
      </c>
      <c r="E54" s="509" t="s">
        <v>989</v>
      </c>
      <c r="F54" s="510"/>
      <c r="G54" s="510"/>
      <c r="H54" s="510"/>
      <c r="I54" s="511"/>
      <c r="J54" s="518" t="s">
        <v>19</v>
      </c>
      <c r="K54" s="263" t="s">
        <v>436</v>
      </c>
      <c r="L54" s="86" t="s">
        <v>435</v>
      </c>
      <c r="M54" s="263" t="s">
        <v>35</v>
      </c>
      <c r="N54" s="248">
        <v>85</v>
      </c>
      <c r="O54" s="248">
        <v>85</v>
      </c>
      <c r="P54" s="248">
        <v>85</v>
      </c>
      <c r="Q54" s="248" t="s">
        <v>19</v>
      </c>
      <c r="R54" s="258"/>
    </row>
    <row r="55" spans="1:18" s="259" customFormat="1" ht="12.75" customHeight="1" x14ac:dyDescent="0.2">
      <c r="A55" s="486"/>
      <c r="B55" s="488"/>
      <c r="C55" s="489"/>
      <c r="D55" s="489"/>
      <c r="E55" s="512"/>
      <c r="F55" s="513"/>
      <c r="G55" s="513"/>
      <c r="H55" s="513"/>
      <c r="I55" s="514"/>
      <c r="J55" s="519"/>
      <c r="K55" s="263" t="s">
        <v>434</v>
      </c>
      <c r="L55" s="86" t="s">
        <v>433</v>
      </c>
      <c r="M55" s="263" t="s">
        <v>35</v>
      </c>
      <c r="N55" s="248">
        <v>700</v>
      </c>
      <c r="O55" s="248">
        <v>700</v>
      </c>
      <c r="P55" s="248">
        <v>700</v>
      </c>
      <c r="Q55" s="248" t="s">
        <v>19</v>
      </c>
      <c r="R55" s="258"/>
    </row>
    <row r="56" spans="1:18" s="259" customFormat="1" ht="12.75" customHeight="1" x14ac:dyDescent="0.2">
      <c r="A56" s="486"/>
      <c r="B56" s="488"/>
      <c r="C56" s="489"/>
      <c r="D56" s="489"/>
      <c r="E56" s="512"/>
      <c r="F56" s="513"/>
      <c r="G56" s="513"/>
      <c r="H56" s="513"/>
      <c r="I56" s="514"/>
      <c r="J56" s="519"/>
      <c r="K56" s="263" t="s">
        <v>432</v>
      </c>
      <c r="L56" s="86" t="s">
        <v>431</v>
      </c>
      <c r="M56" s="263" t="s">
        <v>35</v>
      </c>
      <c r="N56" s="248">
        <v>700</v>
      </c>
      <c r="O56" s="248">
        <v>700</v>
      </c>
      <c r="P56" s="248">
        <v>700</v>
      </c>
      <c r="Q56" s="248" t="s">
        <v>19</v>
      </c>
      <c r="R56" s="258"/>
    </row>
    <row r="57" spans="1:18" s="259" customFormat="1" ht="12.75" customHeight="1" x14ac:dyDescent="0.2">
      <c r="A57" s="486"/>
      <c r="B57" s="488"/>
      <c r="C57" s="489"/>
      <c r="D57" s="489"/>
      <c r="E57" s="512"/>
      <c r="F57" s="513"/>
      <c r="G57" s="513"/>
      <c r="H57" s="513"/>
      <c r="I57" s="514"/>
      <c r="J57" s="519"/>
      <c r="K57" s="367" t="s">
        <v>430</v>
      </c>
      <c r="L57" s="382" t="s">
        <v>819</v>
      </c>
      <c r="M57" s="263" t="s">
        <v>35</v>
      </c>
      <c r="N57" s="248">
        <v>70</v>
      </c>
      <c r="O57" s="248">
        <v>70</v>
      </c>
      <c r="P57" s="248">
        <v>70</v>
      </c>
      <c r="Q57" s="248" t="s">
        <v>19</v>
      </c>
      <c r="R57" s="369"/>
    </row>
    <row r="58" spans="1:18" s="259" customFormat="1" ht="13.5" customHeight="1" x14ac:dyDescent="0.2">
      <c r="A58" s="486"/>
      <c r="B58" s="488"/>
      <c r="C58" s="489"/>
      <c r="D58" s="489"/>
      <c r="E58" s="512"/>
      <c r="F58" s="513"/>
      <c r="G58" s="513"/>
      <c r="H58" s="513"/>
      <c r="I58" s="514"/>
      <c r="J58" s="519"/>
      <c r="K58" s="368" t="s">
        <v>962</v>
      </c>
      <c r="L58" s="382" t="s">
        <v>963</v>
      </c>
      <c r="M58" s="346" t="s">
        <v>35</v>
      </c>
      <c r="N58" s="248">
        <v>4000</v>
      </c>
      <c r="O58" s="248">
        <v>4000</v>
      </c>
      <c r="P58" s="248">
        <v>4000</v>
      </c>
      <c r="Q58" s="248" t="s">
        <v>19</v>
      </c>
      <c r="R58" s="369"/>
    </row>
    <row r="59" spans="1:18" s="259" customFormat="1" ht="13.5" customHeight="1" x14ac:dyDescent="0.2">
      <c r="A59" s="486"/>
      <c r="B59" s="488"/>
      <c r="C59" s="489"/>
      <c r="D59" s="489"/>
      <c r="E59" s="512"/>
      <c r="F59" s="513"/>
      <c r="G59" s="513"/>
      <c r="H59" s="513"/>
      <c r="I59" s="514"/>
      <c r="J59" s="519"/>
      <c r="K59" s="368" t="s">
        <v>964</v>
      </c>
      <c r="L59" s="382" t="s">
        <v>965</v>
      </c>
      <c r="M59" s="346" t="s">
        <v>35</v>
      </c>
      <c r="N59" s="248">
        <v>1200</v>
      </c>
      <c r="O59" s="248">
        <v>1200</v>
      </c>
      <c r="P59" s="248">
        <v>1200</v>
      </c>
      <c r="Q59" s="248" t="s">
        <v>19</v>
      </c>
      <c r="R59" s="369"/>
    </row>
    <row r="60" spans="1:18" s="259" customFormat="1" ht="13.5" customHeight="1" x14ac:dyDescent="0.2">
      <c r="A60" s="486"/>
      <c r="B60" s="488"/>
      <c r="C60" s="489"/>
      <c r="D60" s="489"/>
      <c r="E60" s="515"/>
      <c r="F60" s="516"/>
      <c r="G60" s="516"/>
      <c r="H60" s="516"/>
      <c r="I60" s="517"/>
      <c r="J60" s="520"/>
      <c r="K60" s="368" t="s">
        <v>1030</v>
      </c>
      <c r="L60" s="384" t="s">
        <v>1031</v>
      </c>
      <c r="M60" s="374" t="s">
        <v>35</v>
      </c>
      <c r="N60" s="375">
        <v>1200</v>
      </c>
      <c r="O60" s="375">
        <v>1200</v>
      </c>
      <c r="P60" s="375">
        <v>1200</v>
      </c>
      <c r="Q60" s="375" t="s">
        <v>19</v>
      </c>
      <c r="R60" s="369"/>
    </row>
    <row r="61" spans="1:18" s="259" customFormat="1" x14ac:dyDescent="0.2">
      <c r="A61" s="486"/>
      <c r="B61" s="488"/>
      <c r="C61" s="489"/>
      <c r="D61" s="489"/>
      <c r="E61" s="86" t="s">
        <v>14</v>
      </c>
      <c r="F61" s="31">
        <v>1014</v>
      </c>
      <c r="G61" s="30">
        <f>3508.2+270</f>
        <v>3778.2</v>
      </c>
      <c r="H61" s="94">
        <f>ROUND(G61*Lapas1!$A$1,1)</f>
        <v>4118.2</v>
      </c>
      <c r="I61" s="94">
        <f>ROUND(H61*Lapas1!$A$2,1)</f>
        <v>4653.6000000000004</v>
      </c>
      <c r="J61" s="264"/>
      <c r="K61" s="265"/>
      <c r="L61" s="370"/>
      <c r="M61" s="371"/>
      <c r="N61" s="372"/>
      <c r="O61" s="373"/>
      <c r="P61" s="373"/>
      <c r="Q61" s="373"/>
      <c r="R61" s="258"/>
    </row>
    <row r="62" spans="1:18" s="259" customFormat="1" x14ac:dyDescent="0.2">
      <c r="A62" s="486"/>
      <c r="B62" s="488"/>
      <c r="C62" s="489"/>
      <c r="D62" s="489"/>
      <c r="E62" s="239" t="s">
        <v>22</v>
      </c>
      <c r="F62" s="28">
        <f>SUM(F61:F61)</f>
        <v>1014</v>
      </c>
      <c r="G62" s="28">
        <f t="shared" ref="G62:I62" si="8">SUM(G61:G61)</f>
        <v>3778.2</v>
      </c>
      <c r="H62" s="28">
        <f t="shared" si="8"/>
        <v>4118.2</v>
      </c>
      <c r="I62" s="28">
        <f t="shared" si="8"/>
        <v>4653.6000000000004</v>
      </c>
      <c r="J62" s="264"/>
      <c r="K62" s="265"/>
      <c r="L62" s="266"/>
      <c r="M62" s="265"/>
      <c r="N62" s="267"/>
      <c r="O62" s="268"/>
      <c r="P62" s="268"/>
      <c r="Q62" s="268"/>
      <c r="R62" s="269">
        <f>(G62-F62)/F62</f>
        <v>2.7260355029585797</v>
      </c>
    </row>
    <row r="63" spans="1:18" s="259" customFormat="1" ht="13.5" x14ac:dyDescent="0.2">
      <c r="A63" s="486" t="s">
        <v>0</v>
      </c>
      <c r="B63" s="488" t="s">
        <v>0</v>
      </c>
      <c r="C63" s="489" t="s">
        <v>105</v>
      </c>
      <c r="D63" s="489" t="s">
        <v>21</v>
      </c>
      <c r="E63" s="490" t="s">
        <v>799</v>
      </c>
      <c r="F63" s="490"/>
      <c r="G63" s="490"/>
      <c r="H63" s="490"/>
      <c r="I63" s="490"/>
      <c r="J63" s="262" t="s">
        <v>19</v>
      </c>
      <c r="K63" s="263" t="s">
        <v>429</v>
      </c>
      <c r="L63" s="86" t="s">
        <v>428</v>
      </c>
      <c r="M63" s="263" t="s">
        <v>35</v>
      </c>
      <c r="N63" s="248">
        <v>180</v>
      </c>
      <c r="O63" s="248">
        <v>180</v>
      </c>
      <c r="P63" s="248">
        <v>180</v>
      </c>
      <c r="Q63" s="248" t="s">
        <v>19</v>
      </c>
      <c r="R63" s="258"/>
    </row>
    <row r="64" spans="1:18" s="259" customFormat="1" x14ac:dyDescent="0.2">
      <c r="A64" s="486"/>
      <c r="B64" s="488"/>
      <c r="C64" s="489"/>
      <c r="D64" s="489"/>
      <c r="E64" s="86" t="s">
        <v>14</v>
      </c>
      <c r="F64" s="31">
        <v>187.5</v>
      </c>
      <c r="G64" s="30">
        <v>202</v>
      </c>
      <c r="H64" s="94">
        <f>ROUND(G64*Lapas1!$A$1,1)</f>
        <v>220.2</v>
      </c>
      <c r="I64" s="94">
        <f>ROUND(H64*Lapas1!$A$2,1)</f>
        <v>248.8</v>
      </c>
      <c r="J64" s="264"/>
      <c r="K64" s="265"/>
      <c r="L64" s="266"/>
      <c r="M64" s="265"/>
      <c r="N64" s="267"/>
      <c r="O64" s="268"/>
      <c r="P64" s="268"/>
      <c r="Q64" s="268"/>
      <c r="R64" s="258"/>
    </row>
    <row r="65" spans="1:18" s="259" customFormat="1" x14ac:dyDescent="0.2">
      <c r="A65" s="486"/>
      <c r="B65" s="488"/>
      <c r="C65" s="489"/>
      <c r="D65" s="489"/>
      <c r="E65" s="86" t="s">
        <v>15</v>
      </c>
      <c r="F65" s="31">
        <v>163.80000000000001</v>
      </c>
      <c r="G65" s="30">
        <v>125.1</v>
      </c>
      <c r="H65" s="94">
        <f>ROUND(G65*Lapas1!$A$1,1)</f>
        <v>136.4</v>
      </c>
      <c r="I65" s="94">
        <f>ROUND(H65*Lapas1!$A$2,1)</f>
        <v>154.1</v>
      </c>
      <c r="J65" s="264"/>
      <c r="K65" s="265"/>
      <c r="L65" s="266"/>
      <c r="M65" s="265"/>
      <c r="N65" s="267"/>
      <c r="O65" s="268"/>
      <c r="P65" s="268"/>
      <c r="Q65" s="268"/>
      <c r="R65" s="258"/>
    </row>
    <row r="66" spans="1:18" s="259" customFormat="1" x14ac:dyDescent="0.2">
      <c r="A66" s="486"/>
      <c r="B66" s="488"/>
      <c r="C66" s="489"/>
      <c r="D66" s="489"/>
      <c r="E66" s="239" t="s">
        <v>22</v>
      </c>
      <c r="F66" s="28">
        <f>SUM(F64:F65)</f>
        <v>351.3</v>
      </c>
      <c r="G66" s="28">
        <f t="shared" ref="G66:I66" si="9">SUM(G64:G65)</f>
        <v>327.10000000000002</v>
      </c>
      <c r="H66" s="28">
        <f t="shared" si="9"/>
        <v>356.6</v>
      </c>
      <c r="I66" s="28">
        <f t="shared" si="9"/>
        <v>402.9</v>
      </c>
      <c r="J66" s="264"/>
      <c r="K66" s="265"/>
      <c r="L66" s="266"/>
      <c r="M66" s="265"/>
      <c r="N66" s="267"/>
      <c r="O66" s="268"/>
      <c r="P66" s="268"/>
      <c r="Q66" s="268"/>
      <c r="R66" s="269">
        <f>(G66-F66)/F66</f>
        <v>-6.8886991175633322E-2</v>
      </c>
    </row>
    <row r="67" spans="1:18" s="259" customFormat="1" ht="12.75" customHeight="1" x14ac:dyDescent="0.2">
      <c r="A67" s="486" t="s">
        <v>0</v>
      </c>
      <c r="B67" s="488" t="s">
        <v>0</v>
      </c>
      <c r="C67" s="489" t="s">
        <v>113</v>
      </c>
      <c r="D67" s="489" t="s">
        <v>21</v>
      </c>
      <c r="E67" s="500" t="s">
        <v>848</v>
      </c>
      <c r="F67" s="501"/>
      <c r="G67" s="501"/>
      <c r="H67" s="501"/>
      <c r="I67" s="502"/>
      <c r="J67" s="518" t="s">
        <v>19</v>
      </c>
      <c r="K67" s="263" t="s">
        <v>427</v>
      </c>
      <c r="L67" s="86" t="s">
        <v>426</v>
      </c>
      <c r="M67" s="263" t="s">
        <v>35</v>
      </c>
      <c r="N67" s="248">
        <v>60</v>
      </c>
      <c r="O67" s="248">
        <v>60</v>
      </c>
      <c r="P67" s="248">
        <v>60</v>
      </c>
      <c r="Q67" s="248" t="s">
        <v>19</v>
      </c>
      <c r="R67" s="258"/>
    </row>
    <row r="68" spans="1:18" s="259" customFormat="1" ht="12.75" customHeight="1" x14ac:dyDescent="0.2">
      <c r="A68" s="486"/>
      <c r="B68" s="488"/>
      <c r="C68" s="489"/>
      <c r="D68" s="489"/>
      <c r="E68" s="503"/>
      <c r="F68" s="504"/>
      <c r="G68" s="504"/>
      <c r="H68" s="504"/>
      <c r="I68" s="505"/>
      <c r="J68" s="519"/>
      <c r="K68" s="263" t="s">
        <v>425</v>
      </c>
      <c r="L68" s="86" t="s">
        <v>424</v>
      </c>
      <c r="M68" s="263" t="s">
        <v>35</v>
      </c>
      <c r="N68" s="248">
        <v>23</v>
      </c>
      <c r="O68" s="248">
        <v>23</v>
      </c>
      <c r="P68" s="248">
        <v>23</v>
      </c>
      <c r="Q68" s="248" t="s">
        <v>19</v>
      </c>
      <c r="R68" s="258"/>
    </row>
    <row r="69" spans="1:18" s="259" customFormat="1" ht="12.75" customHeight="1" x14ac:dyDescent="0.2">
      <c r="A69" s="486"/>
      <c r="B69" s="488"/>
      <c r="C69" s="489"/>
      <c r="D69" s="489"/>
      <c r="E69" s="503"/>
      <c r="F69" s="504"/>
      <c r="G69" s="504"/>
      <c r="H69" s="504"/>
      <c r="I69" s="505"/>
      <c r="J69" s="519"/>
      <c r="K69" s="263" t="s">
        <v>423</v>
      </c>
      <c r="L69" s="86" t="s">
        <v>422</v>
      </c>
      <c r="M69" s="263" t="s">
        <v>35</v>
      </c>
      <c r="N69" s="248">
        <v>12</v>
      </c>
      <c r="O69" s="248">
        <v>12</v>
      </c>
      <c r="P69" s="248">
        <v>12</v>
      </c>
      <c r="Q69" s="248" t="s">
        <v>19</v>
      </c>
      <c r="R69" s="258"/>
    </row>
    <row r="70" spans="1:18" s="259" customFormat="1" ht="13.5" customHeight="1" x14ac:dyDescent="0.2">
      <c r="A70" s="486"/>
      <c r="B70" s="488"/>
      <c r="C70" s="489"/>
      <c r="D70" s="489"/>
      <c r="E70" s="506"/>
      <c r="F70" s="507"/>
      <c r="G70" s="507"/>
      <c r="H70" s="507"/>
      <c r="I70" s="508"/>
      <c r="J70" s="520"/>
      <c r="K70" s="346" t="s">
        <v>966</v>
      </c>
      <c r="L70" s="382" t="s">
        <v>967</v>
      </c>
      <c r="M70" s="346" t="s">
        <v>35</v>
      </c>
      <c r="N70" s="248">
        <v>7</v>
      </c>
      <c r="O70" s="248">
        <v>7</v>
      </c>
      <c r="P70" s="248">
        <v>7</v>
      </c>
      <c r="Q70" s="248"/>
      <c r="R70" s="258"/>
    </row>
    <row r="71" spans="1:18" s="259" customFormat="1" x14ac:dyDescent="0.2">
      <c r="A71" s="486"/>
      <c r="B71" s="488"/>
      <c r="C71" s="489"/>
      <c r="D71" s="489"/>
      <c r="E71" s="86" t="s">
        <v>14</v>
      </c>
      <c r="F71" s="31">
        <v>166.1</v>
      </c>
      <c r="G71" s="30">
        <v>167.5</v>
      </c>
      <c r="H71" s="94">
        <f>ROUND(G71*Lapas1!$A$1,1)</f>
        <v>182.6</v>
      </c>
      <c r="I71" s="94">
        <f>ROUND(H71*Lapas1!$A$2,1)</f>
        <v>206.3</v>
      </c>
      <c r="J71" s="264"/>
      <c r="K71" s="265"/>
      <c r="L71" s="266"/>
      <c r="M71" s="265"/>
      <c r="N71" s="267"/>
      <c r="O71" s="268"/>
      <c r="P71" s="268"/>
      <c r="Q71" s="268"/>
      <c r="R71" s="258"/>
    </row>
    <row r="72" spans="1:18" s="259" customFormat="1" x14ac:dyDescent="0.2">
      <c r="A72" s="486"/>
      <c r="B72" s="488"/>
      <c r="C72" s="489"/>
      <c r="D72" s="489"/>
      <c r="E72" s="86" t="s">
        <v>15</v>
      </c>
      <c r="F72" s="31"/>
      <c r="G72" s="30">
        <v>50.2</v>
      </c>
      <c r="H72" s="94">
        <f>ROUND(G72*Lapas1!$A$1,1)</f>
        <v>54.7</v>
      </c>
      <c r="I72" s="94">
        <f>ROUND(H72*Lapas1!$A$2,1)</f>
        <v>61.8</v>
      </c>
      <c r="J72" s="264"/>
      <c r="K72" s="265"/>
      <c r="L72" s="266"/>
      <c r="M72" s="265"/>
      <c r="N72" s="267"/>
      <c r="O72" s="268"/>
      <c r="P72" s="268"/>
      <c r="Q72" s="268"/>
      <c r="R72" s="258"/>
    </row>
    <row r="73" spans="1:18" s="259" customFormat="1" x14ac:dyDescent="0.2">
      <c r="A73" s="486"/>
      <c r="B73" s="488"/>
      <c r="C73" s="489"/>
      <c r="D73" s="489"/>
      <c r="E73" s="239" t="s">
        <v>22</v>
      </c>
      <c r="F73" s="28">
        <f>SUM(F71:F72)</f>
        <v>166.1</v>
      </c>
      <c r="G73" s="28">
        <f t="shared" ref="G73:I73" si="10">SUM(G71:G72)</f>
        <v>217.7</v>
      </c>
      <c r="H73" s="28">
        <f t="shared" si="10"/>
        <v>237.3</v>
      </c>
      <c r="I73" s="28">
        <f t="shared" si="10"/>
        <v>268.10000000000002</v>
      </c>
      <c r="J73" s="264"/>
      <c r="K73" s="265"/>
      <c r="L73" s="266"/>
      <c r="M73" s="265"/>
      <c r="N73" s="267"/>
      <c r="O73" s="268"/>
      <c r="P73" s="268"/>
      <c r="Q73" s="268"/>
      <c r="R73" s="269">
        <f>(G73-F73)/F73</f>
        <v>0.31065623118603247</v>
      </c>
    </row>
    <row r="74" spans="1:18" s="259" customFormat="1" ht="13.5" x14ac:dyDescent="0.2">
      <c r="A74" s="486" t="s">
        <v>0</v>
      </c>
      <c r="B74" s="488" t="s">
        <v>0</v>
      </c>
      <c r="C74" s="489" t="s">
        <v>114</v>
      </c>
      <c r="D74" s="489" t="s">
        <v>21</v>
      </c>
      <c r="E74" s="490" t="s">
        <v>421</v>
      </c>
      <c r="F74" s="490"/>
      <c r="G74" s="490"/>
      <c r="H74" s="490"/>
      <c r="I74" s="490"/>
      <c r="J74" s="262" t="s">
        <v>19</v>
      </c>
      <c r="K74" s="228" t="s">
        <v>19</v>
      </c>
      <c r="L74" s="262" t="s">
        <v>19</v>
      </c>
      <c r="M74" s="228" t="s">
        <v>19</v>
      </c>
      <c r="N74" s="248" t="s">
        <v>19</v>
      </c>
      <c r="O74" s="248" t="s">
        <v>19</v>
      </c>
      <c r="P74" s="248" t="s">
        <v>19</v>
      </c>
      <c r="Q74" s="248" t="s">
        <v>19</v>
      </c>
      <c r="R74" s="258"/>
    </row>
    <row r="75" spans="1:18" s="259" customFormat="1" x14ac:dyDescent="0.2">
      <c r="A75" s="486"/>
      <c r="B75" s="488"/>
      <c r="C75" s="489"/>
      <c r="D75" s="489"/>
      <c r="E75" s="86" t="s">
        <v>14</v>
      </c>
      <c r="F75" s="31">
        <f>2275.1+400</f>
        <v>2675.1</v>
      </c>
      <c r="G75" s="30">
        <v>0</v>
      </c>
      <c r="H75" s="94">
        <v>0</v>
      </c>
      <c r="I75" s="94">
        <v>0</v>
      </c>
      <c r="J75" s="264"/>
      <c r="K75" s="265"/>
      <c r="L75" s="266"/>
      <c r="M75" s="265"/>
      <c r="N75" s="267"/>
      <c r="O75" s="268"/>
      <c r="P75" s="268"/>
      <c r="Q75" s="268"/>
      <c r="R75" s="258"/>
    </row>
    <row r="76" spans="1:18" s="259" customFormat="1" x14ac:dyDescent="0.2">
      <c r="A76" s="486"/>
      <c r="B76" s="488"/>
      <c r="C76" s="489"/>
      <c r="D76" s="489"/>
      <c r="E76" s="239" t="s">
        <v>22</v>
      </c>
      <c r="F76" s="28">
        <f>SUM(F75:F75)</f>
        <v>2675.1</v>
      </c>
      <c r="G76" s="28">
        <f t="shared" ref="G76:I76" si="11">SUM(G75:G75)</f>
        <v>0</v>
      </c>
      <c r="H76" s="28">
        <f t="shared" si="11"/>
        <v>0</v>
      </c>
      <c r="I76" s="28">
        <f t="shared" si="11"/>
        <v>0</v>
      </c>
      <c r="J76" s="264"/>
      <c r="K76" s="265"/>
      <c r="L76" s="266"/>
      <c r="M76" s="265"/>
      <c r="N76" s="267"/>
      <c r="O76" s="268"/>
      <c r="P76" s="268"/>
      <c r="Q76" s="268"/>
      <c r="R76" s="269">
        <f>(G76-F76)/F76</f>
        <v>-1</v>
      </c>
    </row>
    <row r="77" spans="1:18" s="259" customFormat="1" ht="13.5" x14ac:dyDescent="0.2">
      <c r="A77" s="486" t="s">
        <v>0</v>
      </c>
      <c r="B77" s="488" t="s">
        <v>0</v>
      </c>
      <c r="C77" s="489" t="s">
        <v>116</v>
      </c>
      <c r="D77" s="489" t="s">
        <v>21</v>
      </c>
      <c r="E77" s="490" t="s">
        <v>817</v>
      </c>
      <c r="F77" s="490"/>
      <c r="G77" s="490"/>
      <c r="H77" s="490"/>
      <c r="I77" s="490"/>
      <c r="J77" s="262" t="s">
        <v>19</v>
      </c>
      <c r="K77" s="263" t="s">
        <v>420</v>
      </c>
      <c r="L77" s="385" t="s">
        <v>968</v>
      </c>
      <c r="M77" s="263" t="s">
        <v>35</v>
      </c>
      <c r="N77" s="248">
        <v>10</v>
      </c>
      <c r="O77" s="248">
        <v>10</v>
      </c>
      <c r="P77" s="248">
        <v>10</v>
      </c>
      <c r="Q77" s="248" t="s">
        <v>19</v>
      </c>
      <c r="R77" s="258"/>
    </row>
    <row r="78" spans="1:18" s="259" customFormat="1" x14ac:dyDescent="0.2">
      <c r="A78" s="486"/>
      <c r="B78" s="488"/>
      <c r="C78" s="489"/>
      <c r="D78" s="489"/>
      <c r="E78" s="86" t="s">
        <v>15</v>
      </c>
      <c r="F78" s="31">
        <v>24.419</v>
      </c>
      <c r="G78" s="30">
        <v>24.419</v>
      </c>
      <c r="H78" s="94">
        <f>ROUND(G78*Lapas1!$A$1,1)</f>
        <v>26.6</v>
      </c>
      <c r="I78" s="94">
        <f>ROUND(H78*Lapas1!$A$2,1)</f>
        <v>30.1</v>
      </c>
      <c r="J78" s="264"/>
      <c r="K78" s="265"/>
      <c r="L78" s="266"/>
      <c r="M78" s="265"/>
      <c r="N78" s="267"/>
      <c r="O78" s="268"/>
      <c r="P78" s="268"/>
      <c r="Q78" s="268"/>
      <c r="R78" s="258"/>
    </row>
    <row r="79" spans="1:18" s="259" customFormat="1" x14ac:dyDescent="0.2">
      <c r="A79" s="486"/>
      <c r="B79" s="488"/>
      <c r="C79" s="489"/>
      <c r="D79" s="489"/>
      <c r="E79" s="239" t="s">
        <v>22</v>
      </c>
      <c r="F79" s="28">
        <f>SUM(F78:F78)</f>
        <v>24.419</v>
      </c>
      <c r="G79" s="28">
        <f t="shared" ref="G79:I79" si="12">SUM(G78:G78)</f>
        <v>24.419</v>
      </c>
      <c r="H79" s="28">
        <f t="shared" si="12"/>
        <v>26.6</v>
      </c>
      <c r="I79" s="28">
        <f t="shared" si="12"/>
        <v>30.1</v>
      </c>
      <c r="J79" s="264"/>
      <c r="K79" s="265"/>
      <c r="L79" s="266"/>
      <c r="M79" s="265"/>
      <c r="N79" s="267"/>
      <c r="O79" s="268"/>
      <c r="P79" s="268"/>
      <c r="Q79" s="268"/>
      <c r="R79" s="269">
        <f>(G79-F79)/F79</f>
        <v>0</v>
      </c>
    </row>
    <row r="80" spans="1:18" s="259" customFormat="1" ht="13.5" x14ac:dyDescent="0.2">
      <c r="A80" s="486" t="s">
        <v>0</v>
      </c>
      <c r="B80" s="488" t="s">
        <v>0</v>
      </c>
      <c r="C80" s="489" t="s">
        <v>120</v>
      </c>
      <c r="D80" s="489" t="s">
        <v>21</v>
      </c>
      <c r="E80" s="490" t="s">
        <v>818</v>
      </c>
      <c r="F80" s="490"/>
      <c r="G80" s="490"/>
      <c r="H80" s="490"/>
      <c r="I80" s="490"/>
      <c r="J80" s="262" t="s">
        <v>19</v>
      </c>
      <c r="K80" s="102" t="s">
        <v>475</v>
      </c>
      <c r="L80" s="103" t="s">
        <v>476</v>
      </c>
      <c r="M80" s="102" t="s">
        <v>35</v>
      </c>
      <c r="N80" s="244">
        <v>26</v>
      </c>
      <c r="O80" s="244">
        <v>26</v>
      </c>
      <c r="P80" s="244">
        <v>26</v>
      </c>
      <c r="Q80" s="248" t="s">
        <v>19</v>
      </c>
      <c r="R80" s="258"/>
    </row>
    <row r="81" spans="1:18" s="259" customFormat="1" x14ac:dyDescent="0.2">
      <c r="A81" s="486"/>
      <c r="B81" s="488"/>
      <c r="C81" s="489"/>
      <c r="D81" s="489"/>
      <c r="E81" s="86" t="s">
        <v>14</v>
      </c>
      <c r="F81" s="31">
        <v>50</v>
      </c>
      <c r="G81" s="30">
        <v>10</v>
      </c>
      <c r="H81" s="94">
        <f>ROUND(G81*Lapas1!$A$1,1)</f>
        <v>10.9</v>
      </c>
      <c r="I81" s="94">
        <f>ROUND(H81*Lapas1!$A$2,1)</f>
        <v>12.3</v>
      </c>
      <c r="J81" s="270"/>
      <c r="K81" s="271"/>
      <c r="L81" s="272"/>
      <c r="M81" s="271"/>
      <c r="N81" s="273"/>
      <c r="O81" s="273"/>
      <c r="P81" s="273"/>
      <c r="Q81" s="274"/>
      <c r="R81" s="258"/>
    </row>
    <row r="82" spans="1:18" s="259" customFormat="1" x14ac:dyDescent="0.2">
      <c r="A82" s="486"/>
      <c r="B82" s="488"/>
      <c r="C82" s="489"/>
      <c r="D82" s="489"/>
      <c r="E82" s="86" t="s">
        <v>15</v>
      </c>
      <c r="F82" s="31">
        <v>48.3</v>
      </c>
      <c r="G82" s="30">
        <v>46.7</v>
      </c>
      <c r="H82" s="94">
        <f>ROUND(G82*Lapas1!$A$1,1)</f>
        <v>50.9</v>
      </c>
      <c r="I82" s="94">
        <f>ROUND(H82*Lapas1!$A$2,1)</f>
        <v>57.5</v>
      </c>
      <c r="J82" s="264"/>
      <c r="K82" s="265"/>
      <c r="L82" s="266"/>
      <c r="M82" s="265"/>
      <c r="N82" s="267"/>
      <c r="O82" s="268"/>
      <c r="P82" s="268"/>
      <c r="Q82" s="268"/>
      <c r="R82" s="258"/>
    </row>
    <row r="83" spans="1:18" s="259" customFormat="1" x14ac:dyDescent="0.2">
      <c r="A83" s="486"/>
      <c r="B83" s="488"/>
      <c r="C83" s="489"/>
      <c r="D83" s="489"/>
      <c r="E83" s="239" t="s">
        <v>22</v>
      </c>
      <c r="F83" s="28">
        <f>SUM(F81:F82)</f>
        <v>98.3</v>
      </c>
      <c r="G83" s="28">
        <f t="shared" ref="G83:I83" si="13">SUM(G81:G82)</f>
        <v>56.7</v>
      </c>
      <c r="H83" s="28">
        <f t="shared" si="13"/>
        <v>61.8</v>
      </c>
      <c r="I83" s="28">
        <f t="shared" si="13"/>
        <v>69.8</v>
      </c>
      <c r="J83" s="264"/>
      <c r="K83" s="265"/>
      <c r="L83" s="266"/>
      <c r="M83" s="265"/>
      <c r="N83" s="267"/>
      <c r="O83" s="268"/>
      <c r="P83" s="268"/>
      <c r="Q83" s="268"/>
      <c r="R83" s="269">
        <f>(G83-F83)/F83</f>
        <v>-0.42319430315361134</v>
      </c>
    </row>
    <row r="84" spans="1:18" s="259" customFormat="1" ht="13.5" x14ac:dyDescent="0.2">
      <c r="A84" s="486" t="s">
        <v>0</v>
      </c>
      <c r="B84" s="488" t="s">
        <v>0</v>
      </c>
      <c r="C84" s="489" t="s">
        <v>121</v>
      </c>
      <c r="D84" s="489" t="s">
        <v>21</v>
      </c>
      <c r="E84" s="490" t="s">
        <v>800</v>
      </c>
      <c r="F84" s="490"/>
      <c r="G84" s="490"/>
      <c r="H84" s="490"/>
      <c r="I84" s="490"/>
      <c r="J84" s="262" t="s">
        <v>19</v>
      </c>
      <c r="K84" s="263" t="s">
        <v>801</v>
      </c>
      <c r="L84" s="86" t="s">
        <v>457</v>
      </c>
      <c r="M84" s="263" t="s">
        <v>12</v>
      </c>
      <c r="N84" s="248">
        <v>25</v>
      </c>
      <c r="O84" s="248">
        <v>30</v>
      </c>
      <c r="P84" s="248">
        <v>30</v>
      </c>
      <c r="Q84" s="248" t="s">
        <v>19</v>
      </c>
      <c r="R84" s="258"/>
    </row>
    <row r="85" spans="1:18" s="259" customFormat="1" x14ac:dyDescent="0.2">
      <c r="A85" s="486"/>
      <c r="B85" s="488"/>
      <c r="C85" s="489"/>
      <c r="D85" s="489"/>
      <c r="E85" s="86" t="s">
        <v>14</v>
      </c>
      <c r="F85" s="31">
        <v>60</v>
      </c>
      <c r="G85" s="30">
        <v>60</v>
      </c>
      <c r="H85" s="94">
        <f>ROUND(G85*Lapas1!$A$1,1)</f>
        <v>65.400000000000006</v>
      </c>
      <c r="I85" s="94">
        <f>ROUND(H85*Lapas1!$A$2,1)</f>
        <v>73.900000000000006</v>
      </c>
      <c r="J85" s="264"/>
      <c r="K85" s="265"/>
      <c r="L85" s="266"/>
      <c r="M85" s="265"/>
      <c r="N85" s="267"/>
      <c r="O85" s="268"/>
      <c r="P85" s="268"/>
      <c r="Q85" s="268"/>
      <c r="R85" s="258"/>
    </row>
    <row r="86" spans="1:18" s="259" customFormat="1" x14ac:dyDescent="0.2">
      <c r="A86" s="486"/>
      <c r="B86" s="488"/>
      <c r="C86" s="489"/>
      <c r="D86" s="489"/>
      <c r="E86" s="86" t="s">
        <v>15</v>
      </c>
      <c r="F86" s="31"/>
      <c r="G86" s="30"/>
      <c r="H86" s="94">
        <f>ROUND(G86*Lapas1!$A$1,1)</f>
        <v>0</v>
      </c>
      <c r="I86" s="94">
        <f>ROUND(H86*Lapas1!$A$2,1)</f>
        <v>0</v>
      </c>
      <c r="J86" s="264"/>
      <c r="K86" s="265"/>
      <c r="L86" s="266"/>
      <c r="M86" s="265"/>
      <c r="N86" s="267"/>
      <c r="O86" s="268"/>
      <c r="P86" s="268"/>
      <c r="Q86" s="268"/>
      <c r="R86" s="258"/>
    </row>
    <row r="87" spans="1:18" s="259" customFormat="1" x14ac:dyDescent="0.2">
      <c r="A87" s="486"/>
      <c r="B87" s="488"/>
      <c r="C87" s="489"/>
      <c r="D87" s="489"/>
      <c r="E87" s="239" t="s">
        <v>22</v>
      </c>
      <c r="F87" s="28">
        <f>SUM(F85:F86)</f>
        <v>60</v>
      </c>
      <c r="G87" s="28">
        <f t="shared" ref="G87:I87" si="14">SUM(G85:G86)</f>
        <v>60</v>
      </c>
      <c r="H87" s="28">
        <f t="shared" si="14"/>
        <v>65.400000000000006</v>
      </c>
      <c r="I87" s="28">
        <f t="shared" si="14"/>
        <v>73.900000000000006</v>
      </c>
      <c r="J87" s="264"/>
      <c r="K87" s="265"/>
      <c r="L87" s="266"/>
      <c r="M87" s="265"/>
      <c r="N87" s="267"/>
      <c r="O87" s="268"/>
      <c r="P87" s="268"/>
      <c r="Q87" s="268"/>
      <c r="R87" s="269">
        <f>(G87-F87)/F87</f>
        <v>0</v>
      </c>
    </row>
    <row r="88" spans="1:18" s="259" customFormat="1" ht="13.5" customHeight="1" x14ac:dyDescent="0.2">
      <c r="A88" s="486" t="s">
        <v>0</v>
      </c>
      <c r="B88" s="488" t="s">
        <v>0</v>
      </c>
      <c r="C88" s="489" t="s">
        <v>122</v>
      </c>
      <c r="D88" s="489" t="s">
        <v>21</v>
      </c>
      <c r="E88" s="500" t="s">
        <v>805</v>
      </c>
      <c r="F88" s="501"/>
      <c r="G88" s="501"/>
      <c r="H88" s="501"/>
      <c r="I88" s="502"/>
      <c r="J88" s="262" t="s">
        <v>19</v>
      </c>
      <c r="K88" s="263" t="s">
        <v>802</v>
      </c>
      <c r="L88" s="382" t="s">
        <v>969</v>
      </c>
      <c r="M88" s="263" t="s">
        <v>12</v>
      </c>
      <c r="N88" s="248">
        <v>5</v>
      </c>
      <c r="O88" s="248">
        <v>5</v>
      </c>
      <c r="P88" s="248">
        <v>5</v>
      </c>
      <c r="Q88" s="248" t="s">
        <v>19</v>
      </c>
      <c r="R88" s="258"/>
    </row>
    <row r="89" spans="1:18" s="259" customFormat="1" ht="13.5" customHeight="1" x14ac:dyDescent="0.2">
      <c r="A89" s="486"/>
      <c r="B89" s="488"/>
      <c r="C89" s="489"/>
      <c r="D89" s="489"/>
      <c r="E89" s="506"/>
      <c r="F89" s="507"/>
      <c r="G89" s="507"/>
      <c r="H89" s="507"/>
      <c r="I89" s="508"/>
      <c r="J89" s="262"/>
      <c r="K89" s="263" t="s">
        <v>970</v>
      </c>
      <c r="L89" s="382" t="s">
        <v>971</v>
      </c>
      <c r="M89" s="263" t="s">
        <v>12</v>
      </c>
      <c r="N89" s="248">
        <v>2</v>
      </c>
      <c r="O89" s="248">
        <v>2</v>
      </c>
      <c r="P89" s="248">
        <v>2</v>
      </c>
      <c r="Q89" s="248"/>
      <c r="R89" s="258"/>
    </row>
    <row r="90" spans="1:18" s="259" customFormat="1" x14ac:dyDescent="0.2">
      <c r="A90" s="486"/>
      <c r="B90" s="488"/>
      <c r="C90" s="489"/>
      <c r="D90" s="489"/>
      <c r="E90" s="86" t="s">
        <v>14</v>
      </c>
      <c r="F90" s="31">
        <v>36.700000000000003</v>
      </c>
      <c r="G90" s="30">
        <v>38.700000000000003</v>
      </c>
      <c r="H90" s="94">
        <f>ROUND(G90*Lapas1!$A$1,1)</f>
        <v>42.2</v>
      </c>
      <c r="I90" s="94">
        <f>ROUND(H90*Lapas1!$A$2,1)</f>
        <v>47.7</v>
      </c>
      <c r="J90" s="264"/>
      <c r="K90" s="265"/>
      <c r="L90" s="266"/>
      <c r="M90" s="265"/>
      <c r="N90" s="267"/>
      <c r="O90" s="268"/>
      <c r="P90" s="268"/>
      <c r="Q90" s="268"/>
      <c r="R90" s="258"/>
    </row>
    <row r="91" spans="1:18" s="259" customFormat="1" x14ac:dyDescent="0.2">
      <c r="A91" s="486"/>
      <c r="B91" s="488"/>
      <c r="C91" s="489"/>
      <c r="D91" s="489"/>
      <c r="E91" s="239" t="s">
        <v>22</v>
      </c>
      <c r="F91" s="28">
        <f>SUM(F90:F90)</f>
        <v>36.700000000000003</v>
      </c>
      <c r="G91" s="28">
        <f t="shared" ref="G91:I91" si="15">SUM(G90:G90)</f>
        <v>38.700000000000003</v>
      </c>
      <c r="H91" s="28">
        <f t="shared" si="15"/>
        <v>42.2</v>
      </c>
      <c r="I91" s="28">
        <f t="shared" si="15"/>
        <v>47.7</v>
      </c>
      <c r="J91" s="264"/>
      <c r="K91" s="265"/>
      <c r="L91" s="266"/>
      <c r="M91" s="265"/>
      <c r="N91" s="267"/>
      <c r="O91" s="268"/>
      <c r="P91" s="268"/>
      <c r="Q91" s="268"/>
      <c r="R91" s="269">
        <f>(G91-F91)/F91</f>
        <v>5.4495912806539502E-2</v>
      </c>
    </row>
    <row r="92" spans="1:18" s="259" customFormat="1" ht="13.5" x14ac:dyDescent="0.2">
      <c r="A92" s="486" t="s">
        <v>0</v>
      </c>
      <c r="B92" s="488" t="s">
        <v>0</v>
      </c>
      <c r="C92" s="489" t="s">
        <v>123</v>
      </c>
      <c r="D92" s="489" t="s">
        <v>21</v>
      </c>
      <c r="E92" s="490" t="s">
        <v>873</v>
      </c>
      <c r="F92" s="490"/>
      <c r="G92" s="490"/>
      <c r="H92" s="490"/>
      <c r="I92" s="490"/>
      <c r="J92" s="262" t="s">
        <v>19</v>
      </c>
      <c r="K92" s="263" t="s">
        <v>874</v>
      </c>
      <c r="L92" s="86" t="s">
        <v>875</v>
      </c>
      <c r="M92" s="263" t="s">
        <v>35</v>
      </c>
      <c r="N92" s="248">
        <v>30</v>
      </c>
      <c r="O92" s="248">
        <v>30</v>
      </c>
      <c r="P92" s="248">
        <v>30</v>
      </c>
      <c r="Q92" s="248" t="s">
        <v>19</v>
      </c>
      <c r="R92" s="258"/>
    </row>
    <row r="93" spans="1:18" s="259" customFormat="1" x14ac:dyDescent="0.2">
      <c r="A93" s="486"/>
      <c r="B93" s="488"/>
      <c r="C93" s="489"/>
      <c r="D93" s="489"/>
      <c r="E93" s="86" t="s">
        <v>15</v>
      </c>
      <c r="F93" s="31">
        <v>124.252</v>
      </c>
      <c r="G93" s="30">
        <f>146.725+2.935</f>
        <v>149.66</v>
      </c>
      <c r="H93" s="94">
        <f>ROUND(G93*Lapas1!$A$1,1)</f>
        <v>163.1</v>
      </c>
      <c r="I93" s="94">
        <f>ROUND(H93*Lapas1!$A$2,1)</f>
        <v>184.3</v>
      </c>
      <c r="J93" s="264"/>
      <c r="K93" s="265"/>
      <c r="L93" s="266"/>
      <c r="M93" s="265"/>
      <c r="N93" s="267"/>
      <c r="O93" s="268"/>
      <c r="P93" s="268"/>
      <c r="Q93" s="268"/>
      <c r="R93" s="258"/>
    </row>
    <row r="94" spans="1:18" s="259" customFormat="1" x14ac:dyDescent="0.2">
      <c r="A94" s="486"/>
      <c r="B94" s="488"/>
      <c r="C94" s="489"/>
      <c r="D94" s="489"/>
      <c r="E94" s="239" t="s">
        <v>22</v>
      </c>
      <c r="F94" s="28">
        <f>SUM(F93:F93)</f>
        <v>124.252</v>
      </c>
      <c r="G94" s="28">
        <f t="shared" ref="G94:I94" si="16">SUM(G93:G93)</f>
        <v>149.66</v>
      </c>
      <c r="H94" s="28">
        <f t="shared" si="16"/>
        <v>163.1</v>
      </c>
      <c r="I94" s="28">
        <f t="shared" si="16"/>
        <v>184.3</v>
      </c>
      <c r="J94" s="264"/>
      <c r="K94" s="265"/>
      <c r="L94" s="266"/>
      <c r="M94" s="265"/>
      <c r="N94" s="267"/>
      <c r="O94" s="268"/>
      <c r="P94" s="268"/>
      <c r="Q94" s="268"/>
      <c r="R94" s="269">
        <f>(G94-F94)/F94</f>
        <v>0.20448765412226766</v>
      </c>
    </row>
    <row r="95" spans="1:18" s="259" customFormat="1" x14ac:dyDescent="0.2">
      <c r="A95" s="256" t="s">
        <v>0</v>
      </c>
      <c r="B95" s="275" t="s">
        <v>0</v>
      </c>
      <c r="C95" s="276"/>
      <c r="D95" s="276" t="s">
        <v>31</v>
      </c>
      <c r="E95" s="277" t="s">
        <v>238</v>
      </c>
      <c r="F95" s="40">
        <f>F94+F91+F87+F83+F79+F76+F73+F66+F62+F50+F53+F45+F42+F34+F30+F24+F20</f>
        <v>8736.518</v>
      </c>
      <c r="G95" s="40">
        <f t="shared" ref="G95:I95" si="17">G94+G91+G87+G83+G79+G76+G73+G66+G62+G50+G53+G45+G42+G34+G30+G24+G20</f>
        <v>8759.5030000000006</v>
      </c>
      <c r="H95" s="40">
        <f t="shared" si="17"/>
        <v>9547.8999999999978</v>
      </c>
      <c r="I95" s="40">
        <f t="shared" si="17"/>
        <v>10789.1</v>
      </c>
      <c r="J95" s="278"/>
      <c r="K95" s="279"/>
      <c r="L95" s="279"/>
      <c r="M95" s="279"/>
      <c r="N95" s="280"/>
      <c r="O95" s="280"/>
      <c r="P95" s="280"/>
      <c r="Q95" s="280"/>
      <c r="R95" s="258"/>
    </row>
    <row r="96" spans="1:18" s="259" customFormat="1" ht="25.5" x14ac:dyDescent="0.2">
      <c r="A96" s="486" t="s">
        <v>0</v>
      </c>
      <c r="B96" s="543" t="s">
        <v>10</v>
      </c>
      <c r="C96" s="487"/>
      <c r="D96" s="487" t="s">
        <v>31</v>
      </c>
      <c r="E96" s="529" t="s">
        <v>838</v>
      </c>
      <c r="F96" s="529"/>
      <c r="G96" s="529"/>
      <c r="H96" s="529"/>
      <c r="I96" s="529"/>
      <c r="J96" s="487" t="s">
        <v>356</v>
      </c>
      <c r="K96" s="260" t="s">
        <v>419</v>
      </c>
      <c r="L96" s="260" t="s">
        <v>418</v>
      </c>
      <c r="M96" s="260" t="s">
        <v>11</v>
      </c>
      <c r="N96" s="249">
        <v>100</v>
      </c>
      <c r="O96" s="249">
        <v>100</v>
      </c>
      <c r="P96" s="249">
        <v>100</v>
      </c>
      <c r="Q96" s="527" t="s">
        <v>477</v>
      </c>
      <c r="R96" s="258"/>
    </row>
    <row r="97" spans="1:18" s="259" customFormat="1" ht="25.5" x14ac:dyDescent="0.2">
      <c r="A97" s="486"/>
      <c r="B97" s="543"/>
      <c r="C97" s="487"/>
      <c r="D97" s="487"/>
      <c r="E97" s="529"/>
      <c r="F97" s="529"/>
      <c r="G97" s="529"/>
      <c r="H97" s="529"/>
      <c r="I97" s="529"/>
      <c r="J97" s="487"/>
      <c r="K97" s="260" t="s">
        <v>417</v>
      </c>
      <c r="L97" s="260" t="s">
        <v>416</v>
      </c>
      <c r="M97" s="260" t="s">
        <v>11</v>
      </c>
      <c r="N97" s="249">
        <v>100</v>
      </c>
      <c r="O97" s="249">
        <v>100</v>
      </c>
      <c r="P97" s="249">
        <v>100</v>
      </c>
      <c r="Q97" s="527"/>
      <c r="R97" s="258"/>
    </row>
    <row r="98" spans="1:18" s="259" customFormat="1" ht="25.5" x14ac:dyDescent="0.2">
      <c r="A98" s="486"/>
      <c r="B98" s="543"/>
      <c r="C98" s="487"/>
      <c r="D98" s="487"/>
      <c r="E98" s="529"/>
      <c r="F98" s="529"/>
      <c r="G98" s="529"/>
      <c r="H98" s="529"/>
      <c r="I98" s="529"/>
      <c r="J98" s="487"/>
      <c r="K98" s="260" t="s">
        <v>415</v>
      </c>
      <c r="L98" s="260" t="s">
        <v>414</v>
      </c>
      <c r="M98" s="260" t="s">
        <v>11</v>
      </c>
      <c r="N98" s="249">
        <v>100</v>
      </c>
      <c r="O98" s="249">
        <v>100</v>
      </c>
      <c r="P98" s="249">
        <v>100</v>
      </c>
      <c r="Q98" s="527"/>
      <c r="R98" s="258"/>
    </row>
    <row r="99" spans="1:18" s="259" customFormat="1" ht="12.75" customHeight="1" x14ac:dyDescent="0.2">
      <c r="A99" s="486" t="s">
        <v>0</v>
      </c>
      <c r="B99" s="488" t="s">
        <v>10</v>
      </c>
      <c r="C99" s="499" t="s">
        <v>0</v>
      </c>
      <c r="D99" s="499" t="s">
        <v>21</v>
      </c>
      <c r="E99" s="500" t="s">
        <v>413</v>
      </c>
      <c r="F99" s="501"/>
      <c r="G99" s="501"/>
      <c r="H99" s="501"/>
      <c r="I99" s="502"/>
      <c r="J99" s="518" t="s">
        <v>19</v>
      </c>
      <c r="K99" s="263" t="s">
        <v>885</v>
      </c>
      <c r="L99" s="86" t="s">
        <v>412</v>
      </c>
      <c r="M99" s="263" t="s">
        <v>35</v>
      </c>
      <c r="N99" s="228">
        <v>85</v>
      </c>
      <c r="O99" s="228">
        <v>85</v>
      </c>
      <c r="P99" s="228">
        <v>85</v>
      </c>
      <c r="Q99" s="228" t="s">
        <v>19</v>
      </c>
      <c r="R99" s="258"/>
    </row>
    <row r="100" spans="1:18" s="259" customFormat="1" ht="12.75" customHeight="1" x14ac:dyDescent="0.2">
      <c r="A100" s="486"/>
      <c r="B100" s="488"/>
      <c r="C100" s="499"/>
      <c r="D100" s="499"/>
      <c r="E100" s="503"/>
      <c r="F100" s="504"/>
      <c r="G100" s="504"/>
      <c r="H100" s="504"/>
      <c r="I100" s="505"/>
      <c r="J100" s="519"/>
      <c r="K100" s="263" t="s">
        <v>411</v>
      </c>
      <c r="L100" s="386" t="s">
        <v>972</v>
      </c>
      <c r="M100" s="346" t="s">
        <v>35</v>
      </c>
      <c r="N100" s="248">
        <v>17</v>
      </c>
      <c r="O100" s="248">
        <v>17</v>
      </c>
      <c r="P100" s="248">
        <v>17</v>
      </c>
      <c r="Q100" s="228" t="s">
        <v>19</v>
      </c>
      <c r="R100" s="258"/>
    </row>
    <row r="101" spans="1:18" s="259" customFormat="1" ht="12.75" customHeight="1" x14ac:dyDescent="0.2">
      <c r="A101" s="486"/>
      <c r="B101" s="488"/>
      <c r="C101" s="499"/>
      <c r="D101" s="499"/>
      <c r="E101" s="503"/>
      <c r="F101" s="504"/>
      <c r="G101" s="504"/>
      <c r="H101" s="504"/>
      <c r="I101" s="505"/>
      <c r="J101" s="519"/>
      <c r="K101" s="263" t="s">
        <v>410</v>
      </c>
      <c r="L101" s="382" t="s">
        <v>973</v>
      </c>
      <c r="M101" s="263" t="s">
        <v>35</v>
      </c>
      <c r="N101" s="228">
        <v>5</v>
      </c>
      <c r="O101" s="228">
        <v>5</v>
      </c>
      <c r="P101" s="228">
        <v>5</v>
      </c>
      <c r="Q101" s="228" t="s">
        <v>19</v>
      </c>
      <c r="R101" s="258"/>
    </row>
    <row r="102" spans="1:18" s="259" customFormat="1" ht="12.75" customHeight="1" x14ac:dyDescent="0.2">
      <c r="A102" s="486"/>
      <c r="B102" s="488"/>
      <c r="C102" s="499"/>
      <c r="D102" s="499"/>
      <c r="E102" s="503"/>
      <c r="F102" s="504"/>
      <c r="G102" s="504"/>
      <c r="H102" s="504"/>
      <c r="I102" s="505"/>
      <c r="J102" s="519"/>
      <c r="K102" s="263" t="s">
        <v>974</v>
      </c>
      <c r="L102" s="382" t="s">
        <v>872</v>
      </c>
      <c r="M102" s="263" t="s">
        <v>12</v>
      </c>
      <c r="N102" s="228">
        <v>240</v>
      </c>
      <c r="O102" s="228">
        <v>240</v>
      </c>
      <c r="P102" s="228">
        <v>240</v>
      </c>
      <c r="Q102" s="228" t="s">
        <v>19</v>
      </c>
      <c r="R102" s="258"/>
    </row>
    <row r="103" spans="1:18" s="259" customFormat="1" ht="13.5" customHeight="1" x14ac:dyDescent="0.2">
      <c r="A103" s="486"/>
      <c r="B103" s="488"/>
      <c r="C103" s="499"/>
      <c r="D103" s="499"/>
      <c r="E103" s="503"/>
      <c r="F103" s="504"/>
      <c r="G103" s="504"/>
      <c r="H103" s="504"/>
      <c r="I103" s="505"/>
      <c r="J103" s="519"/>
      <c r="K103" s="346" t="s">
        <v>975</v>
      </c>
      <c r="L103" s="387" t="s">
        <v>959</v>
      </c>
      <c r="M103" s="263" t="s">
        <v>35</v>
      </c>
      <c r="N103" s="228">
        <v>250</v>
      </c>
      <c r="O103" s="228">
        <v>250</v>
      </c>
      <c r="P103" s="228">
        <v>250</v>
      </c>
      <c r="Q103" s="228" t="s">
        <v>19</v>
      </c>
      <c r="R103" s="258"/>
    </row>
    <row r="104" spans="1:18" s="259" customFormat="1" ht="13.5" customHeight="1" x14ac:dyDescent="0.2">
      <c r="A104" s="486"/>
      <c r="B104" s="488"/>
      <c r="C104" s="499"/>
      <c r="D104" s="499"/>
      <c r="E104" s="503"/>
      <c r="F104" s="504"/>
      <c r="G104" s="504"/>
      <c r="H104" s="504"/>
      <c r="I104" s="505"/>
      <c r="J104" s="519"/>
      <c r="K104" s="346" t="s">
        <v>976</v>
      </c>
      <c r="L104" s="387" t="s">
        <v>977</v>
      </c>
      <c r="M104" s="263" t="s">
        <v>35</v>
      </c>
      <c r="N104" s="228">
        <v>27</v>
      </c>
      <c r="O104" s="228">
        <v>27</v>
      </c>
      <c r="P104" s="228">
        <v>27</v>
      </c>
      <c r="Q104" s="228" t="s">
        <v>19</v>
      </c>
      <c r="R104" s="258"/>
    </row>
    <row r="105" spans="1:18" s="259" customFormat="1" ht="13.5" customHeight="1" x14ac:dyDescent="0.2">
      <c r="A105" s="486"/>
      <c r="B105" s="488"/>
      <c r="C105" s="499"/>
      <c r="D105" s="499"/>
      <c r="E105" s="503"/>
      <c r="F105" s="504"/>
      <c r="G105" s="504"/>
      <c r="H105" s="504"/>
      <c r="I105" s="505"/>
      <c r="J105" s="519"/>
      <c r="K105" s="346" t="s">
        <v>978</v>
      </c>
      <c r="L105" s="388" t="s">
        <v>979</v>
      </c>
      <c r="M105" s="263" t="s">
        <v>35</v>
      </c>
      <c r="N105" s="228">
        <v>8</v>
      </c>
      <c r="O105" s="228">
        <v>8</v>
      </c>
      <c r="P105" s="228">
        <v>8</v>
      </c>
      <c r="Q105" s="228" t="s">
        <v>19</v>
      </c>
      <c r="R105" s="258"/>
    </row>
    <row r="106" spans="1:18" s="259" customFormat="1" ht="13.5" customHeight="1" x14ac:dyDescent="0.2">
      <c r="A106" s="486"/>
      <c r="B106" s="488"/>
      <c r="C106" s="499"/>
      <c r="D106" s="499"/>
      <c r="E106" s="506"/>
      <c r="F106" s="507"/>
      <c r="G106" s="507"/>
      <c r="H106" s="507"/>
      <c r="I106" s="508"/>
      <c r="J106" s="520"/>
      <c r="K106" s="346" t="s">
        <v>980</v>
      </c>
      <c r="L106" s="389" t="s">
        <v>981</v>
      </c>
      <c r="M106" s="263" t="s">
        <v>12</v>
      </c>
      <c r="N106" s="228">
        <v>25</v>
      </c>
      <c r="O106" s="228">
        <v>25</v>
      </c>
      <c r="P106" s="228">
        <v>25</v>
      </c>
      <c r="Q106" s="228" t="s">
        <v>19</v>
      </c>
      <c r="R106" s="258"/>
    </row>
    <row r="107" spans="1:18" s="259" customFormat="1" x14ac:dyDescent="0.2">
      <c r="A107" s="486"/>
      <c r="B107" s="488"/>
      <c r="C107" s="499"/>
      <c r="D107" s="499"/>
      <c r="E107" s="86" t="s">
        <v>14</v>
      </c>
      <c r="F107" s="31">
        <v>1785.8</v>
      </c>
      <c r="G107" s="30">
        <f>2165.9+3.8</f>
        <v>2169.7000000000003</v>
      </c>
      <c r="H107" s="94">
        <f>ROUND(G107*Lapas1!$A$1,1)</f>
        <v>2365</v>
      </c>
      <c r="I107" s="94">
        <f>ROUND(H107*Lapas1!$A$2,1)</f>
        <v>2672.5</v>
      </c>
      <c r="J107" s="264"/>
      <c r="K107" s="265"/>
      <c r="L107" s="266"/>
      <c r="M107" s="265"/>
      <c r="N107" s="267"/>
      <c r="O107" s="268"/>
      <c r="P107" s="268"/>
      <c r="Q107" s="268"/>
      <c r="R107" s="258"/>
    </row>
    <row r="108" spans="1:18" s="259" customFormat="1" x14ac:dyDescent="0.2">
      <c r="A108" s="486"/>
      <c r="B108" s="488"/>
      <c r="C108" s="499"/>
      <c r="D108" s="499"/>
      <c r="E108" s="86" t="s">
        <v>15</v>
      </c>
      <c r="F108" s="31">
        <v>139.489</v>
      </c>
      <c r="G108" s="30">
        <v>137.184</v>
      </c>
      <c r="H108" s="94">
        <f>ROUND(G108*Lapas1!$A$1,1)</f>
        <v>149.5</v>
      </c>
      <c r="I108" s="94">
        <f>ROUND(H108*Lapas1!$A$2,1)</f>
        <v>168.9</v>
      </c>
      <c r="J108" s="264"/>
      <c r="K108" s="265"/>
      <c r="L108" s="266"/>
      <c r="M108" s="265"/>
      <c r="N108" s="267"/>
      <c r="O108" s="268"/>
      <c r="P108" s="268"/>
      <c r="Q108" s="268"/>
      <c r="R108" s="258"/>
    </row>
    <row r="109" spans="1:18" s="259" customFormat="1" x14ac:dyDescent="0.2">
      <c r="A109" s="486"/>
      <c r="B109" s="488"/>
      <c r="C109" s="499"/>
      <c r="D109" s="499"/>
      <c r="E109" s="86" t="s">
        <v>17</v>
      </c>
      <c r="F109" s="31">
        <v>77.2</v>
      </c>
      <c r="G109" s="30">
        <v>103.4</v>
      </c>
      <c r="H109" s="94">
        <f>ROUND(G109*Lapas1!$A$1,1)</f>
        <v>112.7</v>
      </c>
      <c r="I109" s="94">
        <f>ROUND(H109*Lapas1!$A$2,1)</f>
        <v>127.4</v>
      </c>
      <c r="J109" s="264"/>
      <c r="K109" s="265"/>
      <c r="L109" s="266"/>
      <c r="M109" s="265"/>
      <c r="N109" s="267"/>
      <c r="O109" s="268"/>
      <c r="P109" s="268"/>
      <c r="Q109" s="268"/>
      <c r="R109" s="258"/>
    </row>
    <row r="110" spans="1:18" s="259" customFormat="1" x14ac:dyDescent="0.2">
      <c r="A110" s="486"/>
      <c r="B110" s="488"/>
      <c r="C110" s="499"/>
      <c r="D110" s="499"/>
      <c r="E110" s="239" t="s">
        <v>22</v>
      </c>
      <c r="F110" s="28">
        <f>SUM(F107:F109)</f>
        <v>2002.489</v>
      </c>
      <c r="G110" s="28">
        <f t="shared" ref="G110:I110" si="18">SUM(G107:G109)</f>
        <v>2410.2840000000006</v>
      </c>
      <c r="H110" s="28">
        <f t="shared" si="18"/>
        <v>2627.2</v>
      </c>
      <c r="I110" s="28">
        <f t="shared" si="18"/>
        <v>2968.8</v>
      </c>
      <c r="J110" s="264"/>
      <c r="K110" s="265"/>
      <c r="L110" s="266"/>
      <c r="M110" s="265"/>
      <c r="N110" s="267"/>
      <c r="O110" s="268"/>
      <c r="P110" s="268"/>
      <c r="Q110" s="268"/>
      <c r="R110" s="269">
        <f>(G110-F110)/F110</f>
        <v>0.20364406496115611</v>
      </c>
    </row>
    <row r="111" spans="1:18" s="259" customFormat="1" ht="25.5" x14ac:dyDescent="0.2">
      <c r="A111" s="486" t="s">
        <v>0</v>
      </c>
      <c r="B111" s="488" t="s">
        <v>10</v>
      </c>
      <c r="C111" s="489" t="s">
        <v>10</v>
      </c>
      <c r="D111" s="489" t="s">
        <v>21</v>
      </c>
      <c r="E111" s="490" t="s">
        <v>221</v>
      </c>
      <c r="F111" s="490"/>
      <c r="G111" s="490"/>
      <c r="H111" s="490"/>
      <c r="I111" s="490"/>
      <c r="J111" s="262" t="s">
        <v>19</v>
      </c>
      <c r="K111" s="263" t="s">
        <v>409</v>
      </c>
      <c r="L111" s="86" t="s">
        <v>820</v>
      </c>
      <c r="M111" s="263" t="s">
        <v>12</v>
      </c>
      <c r="N111" s="248">
        <v>4</v>
      </c>
      <c r="O111" s="248">
        <v>5</v>
      </c>
      <c r="P111" s="248">
        <v>5</v>
      </c>
      <c r="Q111" s="248" t="s">
        <v>19</v>
      </c>
      <c r="R111" s="258"/>
    </row>
    <row r="112" spans="1:18" s="259" customFormat="1" x14ac:dyDescent="0.2">
      <c r="A112" s="486"/>
      <c r="B112" s="488"/>
      <c r="C112" s="489"/>
      <c r="D112" s="489"/>
      <c r="E112" s="86" t="s">
        <v>14</v>
      </c>
      <c r="F112" s="31">
        <v>41.3</v>
      </c>
      <c r="G112" s="30">
        <v>12.2</v>
      </c>
      <c r="H112" s="94">
        <f>ROUND(G112*Lapas1!$A$1,1)</f>
        <v>13.3</v>
      </c>
      <c r="I112" s="94">
        <f>ROUND(H112*Lapas1!$A$2,1)</f>
        <v>15</v>
      </c>
      <c r="J112" s="264"/>
      <c r="K112" s="265"/>
      <c r="L112" s="266"/>
      <c r="M112" s="265"/>
      <c r="N112" s="267"/>
      <c r="O112" s="268"/>
      <c r="P112" s="268"/>
      <c r="Q112" s="268"/>
      <c r="R112" s="258"/>
    </row>
    <row r="113" spans="1:18" s="259" customFormat="1" x14ac:dyDescent="0.2">
      <c r="A113" s="486"/>
      <c r="B113" s="488"/>
      <c r="C113" s="489"/>
      <c r="D113" s="489"/>
      <c r="E113" s="239" t="s">
        <v>22</v>
      </c>
      <c r="F113" s="28">
        <f>SUM(F112:F112)</f>
        <v>41.3</v>
      </c>
      <c r="G113" s="28">
        <f t="shared" ref="G113:I113" si="19">SUM(G112:G112)</f>
        <v>12.2</v>
      </c>
      <c r="H113" s="28">
        <f t="shared" si="19"/>
        <v>13.3</v>
      </c>
      <c r="I113" s="28">
        <f t="shared" si="19"/>
        <v>15</v>
      </c>
      <c r="J113" s="264"/>
      <c r="K113" s="265"/>
      <c r="L113" s="266"/>
      <c r="M113" s="265"/>
      <c r="N113" s="267"/>
      <c r="O113" s="268"/>
      <c r="P113" s="268"/>
      <c r="Q113" s="268"/>
      <c r="R113" s="269">
        <f>(G113-F113)/F113</f>
        <v>-0.70460048426150124</v>
      </c>
    </row>
    <row r="114" spans="1:18" s="259" customFormat="1" ht="25.5" x14ac:dyDescent="0.2">
      <c r="A114" s="486" t="s">
        <v>0</v>
      </c>
      <c r="B114" s="488" t="s">
        <v>10</v>
      </c>
      <c r="C114" s="489" t="s">
        <v>24</v>
      </c>
      <c r="D114" s="489" t="s">
        <v>21</v>
      </c>
      <c r="E114" s="500" t="s">
        <v>408</v>
      </c>
      <c r="F114" s="501"/>
      <c r="G114" s="501"/>
      <c r="H114" s="501"/>
      <c r="I114" s="502"/>
      <c r="J114" s="546" t="s">
        <v>19</v>
      </c>
      <c r="K114" s="263" t="s">
        <v>407</v>
      </c>
      <c r="L114" s="86" t="s">
        <v>406</v>
      </c>
      <c r="M114" s="263" t="s">
        <v>35</v>
      </c>
      <c r="N114" s="228">
        <v>90</v>
      </c>
      <c r="O114" s="228">
        <v>90</v>
      </c>
      <c r="P114" s="228">
        <v>90</v>
      </c>
      <c r="Q114" s="228" t="s">
        <v>19</v>
      </c>
      <c r="R114" s="258"/>
    </row>
    <row r="115" spans="1:18" s="259" customFormat="1" x14ac:dyDescent="0.2">
      <c r="A115" s="486"/>
      <c r="B115" s="488"/>
      <c r="C115" s="489"/>
      <c r="D115" s="489"/>
      <c r="E115" s="506"/>
      <c r="F115" s="507"/>
      <c r="G115" s="507"/>
      <c r="H115" s="507"/>
      <c r="I115" s="508"/>
      <c r="J115" s="547"/>
      <c r="K115" s="33" t="s">
        <v>928</v>
      </c>
      <c r="L115" s="381" t="s">
        <v>982</v>
      </c>
      <c r="M115" s="33" t="s">
        <v>35</v>
      </c>
      <c r="N115" s="345">
        <v>450</v>
      </c>
      <c r="O115" s="248">
        <v>450</v>
      </c>
      <c r="P115" s="248">
        <v>450</v>
      </c>
      <c r="Q115" s="228" t="s">
        <v>19</v>
      </c>
      <c r="R115" s="258"/>
    </row>
    <row r="116" spans="1:18" s="259" customFormat="1" x14ac:dyDescent="0.2">
      <c r="A116" s="486"/>
      <c r="B116" s="488"/>
      <c r="C116" s="489"/>
      <c r="D116" s="489"/>
      <c r="E116" s="86" t="s">
        <v>14</v>
      </c>
      <c r="F116" s="31">
        <v>343.4</v>
      </c>
      <c r="G116" s="30">
        <f>404.6+2</f>
        <v>406.6</v>
      </c>
      <c r="H116" s="94">
        <f>ROUND(G116*Lapas1!$A$1,1)</f>
        <v>443.2</v>
      </c>
      <c r="I116" s="94">
        <f>ROUND(H116*Lapas1!$A$2,1)</f>
        <v>500.8</v>
      </c>
      <c r="J116" s="264"/>
      <c r="K116" s="265"/>
      <c r="L116" s="266"/>
      <c r="M116" s="265"/>
      <c r="N116" s="267"/>
      <c r="O116" s="268"/>
      <c r="P116" s="268"/>
      <c r="Q116" s="268"/>
      <c r="R116" s="258"/>
    </row>
    <row r="117" spans="1:18" s="259" customFormat="1" x14ac:dyDescent="0.2">
      <c r="A117" s="486"/>
      <c r="B117" s="488"/>
      <c r="C117" s="489"/>
      <c r="D117" s="489"/>
      <c r="E117" s="86" t="s">
        <v>15</v>
      </c>
      <c r="F117" s="31">
        <v>27</v>
      </c>
      <c r="G117" s="30">
        <v>26.4</v>
      </c>
      <c r="H117" s="94">
        <f>ROUND(G117*Lapas1!$A$1,1)</f>
        <v>28.8</v>
      </c>
      <c r="I117" s="94">
        <f>ROUND(H117*Lapas1!$A$2,1)</f>
        <v>32.5</v>
      </c>
      <c r="J117" s="264"/>
      <c r="K117" s="265"/>
      <c r="L117" s="266"/>
      <c r="M117" s="265"/>
      <c r="N117" s="267"/>
      <c r="O117" s="268"/>
      <c r="P117" s="268"/>
      <c r="Q117" s="268"/>
      <c r="R117" s="258"/>
    </row>
    <row r="118" spans="1:18" s="259" customFormat="1" x14ac:dyDescent="0.2">
      <c r="A118" s="486"/>
      <c r="B118" s="488"/>
      <c r="C118" s="489"/>
      <c r="D118" s="489"/>
      <c r="E118" s="86" t="s">
        <v>17</v>
      </c>
      <c r="F118" s="31">
        <v>16</v>
      </c>
      <c r="G118" s="30">
        <v>5</v>
      </c>
      <c r="H118" s="94">
        <f>ROUND(G118*Lapas1!$A$1,1)</f>
        <v>5.5</v>
      </c>
      <c r="I118" s="94">
        <f>ROUND(H118*Lapas1!$A$2,1)</f>
        <v>6.2</v>
      </c>
      <c r="J118" s="264"/>
      <c r="K118" s="265"/>
      <c r="L118" s="266"/>
      <c r="M118" s="265"/>
      <c r="N118" s="267"/>
      <c r="O118" s="268"/>
      <c r="P118" s="268"/>
      <c r="Q118" s="268"/>
      <c r="R118" s="258"/>
    </row>
    <row r="119" spans="1:18" s="259" customFormat="1" x14ac:dyDescent="0.2">
      <c r="A119" s="486"/>
      <c r="B119" s="488"/>
      <c r="C119" s="489"/>
      <c r="D119" s="489"/>
      <c r="E119" s="239" t="s">
        <v>22</v>
      </c>
      <c r="F119" s="28">
        <f>SUM(F116:F118)</f>
        <v>386.4</v>
      </c>
      <c r="G119" s="28">
        <f t="shared" ref="G119:I119" si="20">SUM(G116:G118)</f>
        <v>438</v>
      </c>
      <c r="H119" s="28">
        <f t="shared" si="20"/>
        <v>477.5</v>
      </c>
      <c r="I119" s="28">
        <f t="shared" si="20"/>
        <v>539.5</v>
      </c>
      <c r="J119" s="264"/>
      <c r="K119" s="265"/>
      <c r="L119" s="266"/>
      <c r="M119" s="265"/>
      <c r="N119" s="267"/>
      <c r="O119" s="268"/>
      <c r="P119" s="268"/>
      <c r="Q119" s="268"/>
      <c r="R119" s="269">
        <f>(G119-F119)/F119</f>
        <v>0.13354037267080751</v>
      </c>
    </row>
    <row r="120" spans="1:18" s="259" customFormat="1" x14ac:dyDescent="0.2">
      <c r="A120" s="256" t="s">
        <v>0</v>
      </c>
      <c r="B120" s="275" t="s">
        <v>10</v>
      </c>
      <c r="C120" s="276"/>
      <c r="D120" s="276" t="s">
        <v>31</v>
      </c>
      <c r="E120" s="277" t="s">
        <v>238</v>
      </c>
      <c r="F120" s="40">
        <f>F110+F113+F119</f>
        <v>2430.1889999999999</v>
      </c>
      <c r="G120" s="40">
        <f t="shared" ref="G120:I120" si="21">G110+G113+G119</f>
        <v>2860.4840000000004</v>
      </c>
      <c r="H120" s="40">
        <f t="shared" si="21"/>
        <v>3118</v>
      </c>
      <c r="I120" s="40">
        <f t="shared" si="21"/>
        <v>3523.3</v>
      </c>
      <c r="J120" s="278"/>
      <c r="K120" s="279"/>
      <c r="L120" s="279"/>
      <c r="M120" s="279"/>
      <c r="N120" s="280"/>
      <c r="O120" s="280"/>
      <c r="P120" s="280"/>
      <c r="Q120" s="280"/>
      <c r="R120" s="258"/>
    </row>
    <row r="121" spans="1:18" s="259" customFormat="1" x14ac:dyDescent="0.2">
      <c r="A121" s="541" t="s">
        <v>0</v>
      </c>
      <c r="B121" s="491" t="s">
        <v>24</v>
      </c>
      <c r="C121" s="482"/>
      <c r="D121" s="482" t="s">
        <v>18</v>
      </c>
      <c r="E121" s="493" t="s">
        <v>405</v>
      </c>
      <c r="F121" s="494"/>
      <c r="G121" s="494"/>
      <c r="H121" s="494"/>
      <c r="I121" s="495"/>
      <c r="J121" s="482" t="s">
        <v>404</v>
      </c>
      <c r="K121" s="260" t="s">
        <v>403</v>
      </c>
      <c r="L121" s="260" t="s">
        <v>886</v>
      </c>
      <c r="M121" s="260" t="s">
        <v>11</v>
      </c>
      <c r="N121" s="249">
        <v>8.6999999999999993</v>
      </c>
      <c r="O121" s="249">
        <v>8.6999999999999993</v>
      </c>
      <c r="P121" s="249">
        <v>8.6999999999999993</v>
      </c>
      <c r="Q121" s="484" t="s">
        <v>1017</v>
      </c>
      <c r="R121" s="258"/>
    </row>
    <row r="122" spans="1:18" s="259" customFormat="1" ht="38.25" x14ac:dyDescent="0.2">
      <c r="A122" s="542"/>
      <c r="B122" s="492"/>
      <c r="C122" s="483"/>
      <c r="D122" s="483"/>
      <c r="E122" s="496"/>
      <c r="F122" s="497"/>
      <c r="G122" s="497"/>
      <c r="H122" s="497"/>
      <c r="I122" s="498"/>
      <c r="J122" s="483"/>
      <c r="K122" s="260" t="s">
        <v>887</v>
      </c>
      <c r="L122" s="260" t="s">
        <v>871</v>
      </c>
      <c r="M122" s="260" t="s">
        <v>11</v>
      </c>
      <c r="N122" s="249">
        <v>14</v>
      </c>
      <c r="O122" s="249">
        <v>14</v>
      </c>
      <c r="P122" s="249">
        <v>14</v>
      </c>
      <c r="Q122" s="485"/>
      <c r="R122" s="258"/>
    </row>
    <row r="123" spans="1:18" s="259" customFormat="1" x14ac:dyDescent="0.2">
      <c r="A123" s="486" t="s">
        <v>0</v>
      </c>
      <c r="B123" s="488" t="s">
        <v>24</v>
      </c>
      <c r="C123" s="499" t="s">
        <v>0</v>
      </c>
      <c r="D123" s="499" t="s">
        <v>21</v>
      </c>
      <c r="E123" s="490" t="s">
        <v>402</v>
      </c>
      <c r="F123" s="490"/>
      <c r="G123" s="490"/>
      <c r="H123" s="490"/>
      <c r="I123" s="490"/>
      <c r="J123" s="545" t="s">
        <v>19</v>
      </c>
      <c r="K123" s="263" t="s">
        <v>401</v>
      </c>
      <c r="L123" s="382" t="s">
        <v>983</v>
      </c>
      <c r="M123" s="263" t="s">
        <v>35</v>
      </c>
      <c r="N123" s="248">
        <v>20</v>
      </c>
      <c r="O123" s="248">
        <v>22</v>
      </c>
      <c r="P123" s="248">
        <v>22</v>
      </c>
      <c r="Q123" s="248" t="s">
        <v>19</v>
      </c>
      <c r="R123" s="258"/>
    </row>
    <row r="124" spans="1:18" s="259" customFormat="1" ht="25.5" x14ac:dyDescent="0.2">
      <c r="A124" s="486"/>
      <c r="B124" s="488"/>
      <c r="C124" s="499"/>
      <c r="D124" s="499"/>
      <c r="E124" s="490"/>
      <c r="F124" s="490"/>
      <c r="G124" s="490"/>
      <c r="H124" s="490"/>
      <c r="I124" s="490"/>
      <c r="J124" s="545"/>
      <c r="K124" s="263" t="s">
        <v>400</v>
      </c>
      <c r="L124" s="382" t="s">
        <v>984</v>
      </c>
      <c r="M124" s="263" t="s">
        <v>35</v>
      </c>
      <c r="N124" s="248">
        <v>70</v>
      </c>
      <c r="O124" s="248">
        <v>70</v>
      </c>
      <c r="P124" s="248">
        <v>70</v>
      </c>
      <c r="Q124" s="248" t="s">
        <v>19</v>
      </c>
      <c r="R124" s="258"/>
    </row>
    <row r="125" spans="1:18" s="259" customFormat="1" x14ac:dyDescent="0.2">
      <c r="A125" s="486"/>
      <c r="B125" s="488"/>
      <c r="C125" s="499"/>
      <c r="D125" s="499"/>
      <c r="E125" s="86" t="s">
        <v>15</v>
      </c>
      <c r="F125" s="31">
        <v>109.2</v>
      </c>
      <c r="G125" s="30">
        <v>94.6</v>
      </c>
      <c r="H125" s="94">
        <f>ROUND(G125*Lapas1!$A$1,1)</f>
        <v>103.1</v>
      </c>
      <c r="I125" s="94">
        <f>ROUND(H125*Lapas1!$A$2,1)</f>
        <v>116.5</v>
      </c>
      <c r="J125" s="264"/>
      <c r="K125" s="265"/>
      <c r="L125" s="266"/>
      <c r="M125" s="265"/>
      <c r="N125" s="267"/>
      <c r="O125" s="268"/>
      <c r="P125" s="268"/>
      <c r="Q125" s="268"/>
      <c r="R125" s="258"/>
    </row>
    <row r="126" spans="1:18" s="259" customFormat="1" x14ac:dyDescent="0.2">
      <c r="A126" s="486"/>
      <c r="B126" s="488"/>
      <c r="C126" s="499"/>
      <c r="D126" s="499"/>
      <c r="E126" s="239" t="s">
        <v>22</v>
      </c>
      <c r="F126" s="28">
        <f>SUM(F125:F125)</f>
        <v>109.2</v>
      </c>
      <c r="G126" s="28">
        <f t="shared" ref="G126:I126" si="22">SUM(G125:G125)</f>
        <v>94.6</v>
      </c>
      <c r="H126" s="28">
        <f t="shared" si="22"/>
        <v>103.1</v>
      </c>
      <c r="I126" s="28">
        <f t="shared" si="22"/>
        <v>116.5</v>
      </c>
      <c r="J126" s="264"/>
      <c r="K126" s="265"/>
      <c r="L126" s="266"/>
      <c r="M126" s="265"/>
      <c r="N126" s="267"/>
      <c r="O126" s="268"/>
      <c r="P126" s="268"/>
      <c r="Q126" s="268"/>
      <c r="R126" s="269">
        <f>(G126-F126)/F126</f>
        <v>-0.13369963369963378</v>
      </c>
    </row>
    <row r="127" spans="1:18" s="259" customFormat="1" x14ac:dyDescent="0.2">
      <c r="A127" s="256" t="s">
        <v>0</v>
      </c>
      <c r="B127" s="275" t="s">
        <v>24</v>
      </c>
      <c r="C127" s="276"/>
      <c r="D127" s="276" t="s">
        <v>18</v>
      </c>
      <c r="E127" s="277" t="s">
        <v>238</v>
      </c>
      <c r="F127" s="282">
        <f>F126</f>
        <v>109.2</v>
      </c>
      <c r="G127" s="282">
        <f t="shared" ref="G127:I127" si="23">G126</f>
        <v>94.6</v>
      </c>
      <c r="H127" s="282">
        <f t="shared" si="23"/>
        <v>103.1</v>
      </c>
      <c r="I127" s="282">
        <f t="shared" si="23"/>
        <v>116.5</v>
      </c>
      <c r="J127" s="278"/>
      <c r="K127" s="279"/>
      <c r="L127" s="279"/>
      <c r="M127" s="279"/>
      <c r="N127" s="353"/>
      <c r="O127" s="353"/>
      <c r="P127" s="353"/>
      <c r="Q127" s="280"/>
      <c r="R127" s="258"/>
    </row>
    <row r="128" spans="1:18" s="259" customFormat="1" ht="25.5" x14ac:dyDescent="0.2">
      <c r="A128" s="256" t="s">
        <v>0</v>
      </c>
      <c r="B128" s="275" t="s">
        <v>25</v>
      </c>
      <c r="C128" s="77"/>
      <c r="D128" s="77" t="s">
        <v>18</v>
      </c>
      <c r="E128" s="529" t="s">
        <v>399</v>
      </c>
      <c r="F128" s="529"/>
      <c r="G128" s="529"/>
      <c r="H128" s="529"/>
      <c r="I128" s="529"/>
      <c r="J128" s="77" t="s">
        <v>395</v>
      </c>
      <c r="K128" s="260" t="s">
        <v>398</v>
      </c>
      <c r="L128" s="260" t="s">
        <v>397</v>
      </c>
      <c r="M128" s="260" t="s">
        <v>35</v>
      </c>
      <c r="N128" s="354">
        <v>12</v>
      </c>
      <c r="O128" s="354">
        <v>13</v>
      </c>
      <c r="P128" s="354">
        <v>13</v>
      </c>
      <c r="Q128" s="350" t="s">
        <v>1016</v>
      </c>
      <c r="R128" s="258"/>
    </row>
    <row r="129" spans="1:23" s="259" customFormat="1" ht="13.5" x14ac:dyDescent="0.2">
      <c r="A129" s="486" t="s">
        <v>0</v>
      </c>
      <c r="B129" s="488" t="s">
        <v>25</v>
      </c>
      <c r="C129" s="499" t="s">
        <v>0</v>
      </c>
      <c r="D129" s="499" t="s">
        <v>78</v>
      </c>
      <c r="E129" s="490" t="s">
        <v>396</v>
      </c>
      <c r="F129" s="490"/>
      <c r="G129" s="490"/>
      <c r="H129" s="490"/>
      <c r="I129" s="490"/>
      <c r="J129" s="262" t="s">
        <v>395</v>
      </c>
      <c r="K129" s="263" t="s">
        <v>394</v>
      </c>
      <c r="L129" s="86" t="s">
        <v>393</v>
      </c>
      <c r="M129" s="263" t="s">
        <v>12</v>
      </c>
      <c r="N129" s="355">
        <v>6</v>
      </c>
      <c r="O129" s="355">
        <v>4</v>
      </c>
      <c r="P129" s="355">
        <v>4</v>
      </c>
      <c r="Q129" s="351" t="s">
        <v>19</v>
      </c>
      <c r="R129" s="258"/>
    </row>
    <row r="130" spans="1:23" s="259" customFormat="1" x14ac:dyDescent="0.2">
      <c r="A130" s="486"/>
      <c r="B130" s="488"/>
      <c r="C130" s="499"/>
      <c r="D130" s="499"/>
      <c r="E130" s="86" t="s">
        <v>14</v>
      </c>
      <c r="F130" s="31">
        <v>735</v>
      </c>
      <c r="G130" s="30">
        <v>0</v>
      </c>
      <c r="H130" s="94">
        <f>ROUND(G130*Lapas1!$A$1,1)</f>
        <v>0</v>
      </c>
      <c r="I130" s="94">
        <f>ROUND(H130*Lapas1!$A$2,1)</f>
        <v>0</v>
      </c>
      <c r="J130" s="264"/>
      <c r="K130" s="265"/>
      <c r="L130" s="266"/>
      <c r="M130" s="265"/>
      <c r="N130" s="267"/>
      <c r="O130" s="268"/>
      <c r="P130" s="268"/>
      <c r="Q130" s="352"/>
      <c r="R130" s="258"/>
    </row>
    <row r="131" spans="1:23" s="259" customFormat="1" x14ac:dyDescent="0.2">
      <c r="A131" s="486"/>
      <c r="B131" s="488"/>
      <c r="C131" s="499"/>
      <c r="D131" s="499"/>
      <c r="E131" s="239" t="s">
        <v>22</v>
      </c>
      <c r="F131" s="28">
        <f>SUM(F130:F130)</f>
        <v>735</v>
      </c>
      <c r="G131" s="28">
        <f t="shared" ref="G131:I131" si="24">SUM(G130:G130)</f>
        <v>0</v>
      </c>
      <c r="H131" s="28">
        <f t="shared" si="24"/>
        <v>0</v>
      </c>
      <c r="I131" s="28">
        <f t="shared" si="24"/>
        <v>0</v>
      </c>
      <c r="J131" s="264"/>
      <c r="K131" s="265"/>
      <c r="L131" s="266"/>
      <c r="M131" s="265"/>
      <c r="N131" s="267"/>
      <c r="O131" s="268"/>
      <c r="P131" s="268"/>
      <c r="Q131" s="352"/>
      <c r="R131" s="269">
        <f>(G131-F131)/F131</f>
        <v>-1</v>
      </c>
    </row>
    <row r="132" spans="1:23" s="259" customFormat="1" ht="13.5" x14ac:dyDescent="0.2">
      <c r="A132" s="486" t="s">
        <v>0</v>
      </c>
      <c r="B132" s="488" t="s">
        <v>25</v>
      </c>
      <c r="C132" s="489" t="s">
        <v>10</v>
      </c>
      <c r="D132" s="489" t="s">
        <v>21</v>
      </c>
      <c r="E132" s="490" t="s">
        <v>392</v>
      </c>
      <c r="F132" s="490"/>
      <c r="G132" s="490"/>
      <c r="H132" s="490"/>
      <c r="I132" s="490"/>
      <c r="J132" s="281" t="s">
        <v>19</v>
      </c>
      <c r="K132" s="263" t="s">
        <v>391</v>
      </c>
      <c r="L132" s="86" t="s">
        <v>390</v>
      </c>
      <c r="M132" s="263" t="s">
        <v>35</v>
      </c>
      <c r="N132" s="355">
        <v>650942</v>
      </c>
      <c r="O132" s="355">
        <v>716036</v>
      </c>
      <c r="P132" s="355">
        <v>787639</v>
      </c>
      <c r="Q132" s="351" t="s">
        <v>478</v>
      </c>
      <c r="R132" s="258"/>
    </row>
    <row r="133" spans="1:23" s="259" customFormat="1" x14ac:dyDescent="0.2">
      <c r="A133" s="486"/>
      <c r="B133" s="488"/>
      <c r="C133" s="489"/>
      <c r="D133" s="489"/>
      <c r="E133" s="86" t="s">
        <v>14</v>
      </c>
      <c r="F133" s="31">
        <f>1158.2+500</f>
        <v>1658.2</v>
      </c>
      <c r="G133" s="30">
        <f>1750.9+131.235</f>
        <v>1882.1350000000002</v>
      </c>
      <c r="H133" s="94">
        <f>ROUND(G133*Lapas1!$A$1,1)</f>
        <v>2051.5</v>
      </c>
      <c r="I133" s="94">
        <f>ROUND(H133*Lapas1!$A$2,1)</f>
        <v>2318.1999999999998</v>
      </c>
      <c r="J133" s="264"/>
      <c r="K133" s="265"/>
      <c r="L133" s="266"/>
      <c r="M133" s="265"/>
      <c r="N133" s="267"/>
      <c r="O133" s="267"/>
      <c r="P133" s="268"/>
      <c r="Q133" s="352"/>
      <c r="R133" s="258"/>
    </row>
    <row r="134" spans="1:23" s="259" customFormat="1" x14ac:dyDescent="0.2">
      <c r="A134" s="486"/>
      <c r="B134" s="488"/>
      <c r="C134" s="489"/>
      <c r="D134" s="489"/>
      <c r="E134" s="239" t="s">
        <v>22</v>
      </c>
      <c r="F134" s="28">
        <f>SUM(F133:F133)</f>
        <v>1658.2</v>
      </c>
      <c r="G134" s="28">
        <f t="shared" ref="G134:I134" si="25">SUM(G133:G133)</f>
        <v>1882.1350000000002</v>
      </c>
      <c r="H134" s="28">
        <f t="shared" si="25"/>
        <v>2051.5</v>
      </c>
      <c r="I134" s="28">
        <f t="shared" si="25"/>
        <v>2318.1999999999998</v>
      </c>
      <c r="J134" s="264"/>
      <c r="K134" s="265"/>
      <c r="L134" s="266"/>
      <c r="M134" s="265"/>
      <c r="N134" s="267"/>
      <c r="O134" s="267"/>
      <c r="P134" s="268"/>
      <c r="Q134" s="268"/>
      <c r="R134" s="269">
        <f>(G134-F134)/F134</f>
        <v>0.13504703895790626</v>
      </c>
    </row>
    <row r="135" spans="1:23" s="259" customFormat="1" x14ac:dyDescent="0.2">
      <c r="A135" s="256" t="s">
        <v>0</v>
      </c>
      <c r="B135" s="275" t="s">
        <v>25</v>
      </c>
      <c r="C135" s="276"/>
      <c r="D135" s="276" t="s">
        <v>18</v>
      </c>
      <c r="E135" s="277" t="s">
        <v>2</v>
      </c>
      <c r="F135" s="40">
        <f>F131+F134</f>
        <v>2393.1999999999998</v>
      </c>
      <c r="G135" s="40">
        <f t="shared" ref="G135:I135" si="26">G131+G134</f>
        <v>1882.1350000000002</v>
      </c>
      <c r="H135" s="40">
        <f t="shared" si="26"/>
        <v>2051.5</v>
      </c>
      <c r="I135" s="40">
        <f t="shared" si="26"/>
        <v>2318.1999999999998</v>
      </c>
      <c r="J135" s="278"/>
      <c r="K135" s="279"/>
      <c r="L135" s="279"/>
      <c r="M135" s="279"/>
      <c r="N135" s="280"/>
      <c r="O135" s="280"/>
      <c r="P135" s="280"/>
      <c r="Q135" s="280"/>
      <c r="R135" s="258"/>
    </row>
    <row r="136" spans="1:23" s="259" customFormat="1" x14ac:dyDescent="0.2">
      <c r="A136" s="283" t="s">
        <v>0</v>
      </c>
      <c r="B136" s="284"/>
      <c r="C136" s="284"/>
      <c r="D136" s="284"/>
      <c r="E136" s="285" t="s">
        <v>239</v>
      </c>
      <c r="F136" s="36">
        <f>F135+F127+F120+F95</f>
        <v>13669.107</v>
      </c>
      <c r="G136" s="36">
        <f t="shared" ref="G136:I136" si="27">G135+G127+G120+G95</f>
        <v>13596.722000000002</v>
      </c>
      <c r="H136" s="36">
        <f t="shared" si="27"/>
        <v>14820.499999999998</v>
      </c>
      <c r="I136" s="36">
        <f t="shared" si="27"/>
        <v>16747.099999999999</v>
      </c>
      <c r="J136" s="286"/>
      <c r="K136" s="287"/>
      <c r="L136" s="287"/>
      <c r="M136" s="287"/>
      <c r="N136" s="287"/>
      <c r="O136" s="287"/>
      <c r="P136" s="287"/>
      <c r="Q136" s="287"/>
      <c r="R136" s="258"/>
    </row>
    <row r="137" spans="1:23" s="259" customFormat="1" x14ac:dyDescent="0.2">
      <c r="A137" s="256" t="s">
        <v>10</v>
      </c>
      <c r="B137" s="257"/>
      <c r="C137" s="257"/>
      <c r="D137" s="257"/>
      <c r="E137" s="521" t="s">
        <v>839</v>
      </c>
      <c r="F137" s="521"/>
      <c r="G137" s="521"/>
      <c r="H137" s="521"/>
      <c r="I137" s="521"/>
      <c r="J137" s="521"/>
      <c r="K137" s="521"/>
      <c r="L137" s="521"/>
      <c r="M137" s="521"/>
      <c r="N137" s="521"/>
      <c r="O137" s="521"/>
      <c r="P137" s="521"/>
      <c r="Q137" s="521"/>
      <c r="R137" s="258"/>
    </row>
    <row r="138" spans="1:23" s="259" customFormat="1" ht="38.25" x14ac:dyDescent="0.2">
      <c r="A138" s="486" t="s">
        <v>10</v>
      </c>
      <c r="B138" s="487" t="s">
        <v>0</v>
      </c>
      <c r="C138" s="487"/>
      <c r="D138" s="487" t="s">
        <v>18</v>
      </c>
      <c r="E138" s="529" t="s">
        <v>843</v>
      </c>
      <c r="F138" s="529"/>
      <c r="G138" s="529"/>
      <c r="H138" s="529"/>
      <c r="I138" s="529"/>
      <c r="J138" s="487" t="s">
        <v>389</v>
      </c>
      <c r="K138" s="260" t="s">
        <v>388</v>
      </c>
      <c r="L138" s="260" t="s">
        <v>387</v>
      </c>
      <c r="M138" s="260" t="s">
        <v>11</v>
      </c>
      <c r="N138" s="249">
        <v>0.5</v>
      </c>
      <c r="O138" s="249">
        <v>0.5</v>
      </c>
      <c r="P138" s="249">
        <v>0.5</v>
      </c>
      <c r="Q138" s="527" t="s">
        <v>479</v>
      </c>
      <c r="R138" s="258"/>
    </row>
    <row r="139" spans="1:23" s="259" customFormat="1" x14ac:dyDescent="0.2">
      <c r="A139" s="486"/>
      <c r="B139" s="487"/>
      <c r="C139" s="487"/>
      <c r="D139" s="487"/>
      <c r="E139" s="529"/>
      <c r="F139" s="529"/>
      <c r="G139" s="529"/>
      <c r="H139" s="529"/>
      <c r="I139" s="529"/>
      <c r="J139" s="487"/>
      <c r="K139" s="260" t="s">
        <v>386</v>
      </c>
      <c r="L139" s="260" t="s">
        <v>385</v>
      </c>
      <c r="M139" s="260" t="s">
        <v>11</v>
      </c>
      <c r="N139" s="249">
        <v>6</v>
      </c>
      <c r="O139" s="249">
        <v>5</v>
      </c>
      <c r="P139" s="249">
        <v>5</v>
      </c>
      <c r="Q139" s="527"/>
      <c r="R139" s="258"/>
    </row>
    <row r="140" spans="1:23" s="259" customFormat="1" ht="25.5" customHeight="1" x14ac:dyDescent="0.2">
      <c r="A140" s="486" t="s">
        <v>10</v>
      </c>
      <c r="B140" s="488" t="s">
        <v>0</v>
      </c>
      <c r="C140" s="499" t="s">
        <v>0</v>
      </c>
      <c r="D140" s="499" t="s">
        <v>78</v>
      </c>
      <c r="E140" s="500" t="s">
        <v>384</v>
      </c>
      <c r="F140" s="501"/>
      <c r="G140" s="501"/>
      <c r="H140" s="501"/>
      <c r="I140" s="502"/>
      <c r="J140" s="518" t="s">
        <v>383</v>
      </c>
      <c r="K140" s="102" t="s">
        <v>902</v>
      </c>
      <c r="L140" s="288" t="s">
        <v>852</v>
      </c>
      <c r="M140" s="288" t="s">
        <v>35</v>
      </c>
      <c r="N140" s="244">
        <v>3</v>
      </c>
      <c r="O140" s="244">
        <v>3</v>
      </c>
      <c r="P140" s="244">
        <v>2</v>
      </c>
      <c r="Q140" s="531" t="s">
        <v>480</v>
      </c>
      <c r="R140" s="258"/>
      <c r="S140" s="530"/>
      <c r="T140" s="530"/>
      <c r="U140" s="530"/>
      <c r="V140" s="530"/>
      <c r="W140" s="530"/>
    </row>
    <row r="141" spans="1:23" s="259" customFormat="1" ht="12.75" customHeight="1" x14ac:dyDescent="0.2">
      <c r="A141" s="486"/>
      <c r="B141" s="488"/>
      <c r="C141" s="499"/>
      <c r="D141" s="499"/>
      <c r="E141" s="503"/>
      <c r="F141" s="504"/>
      <c r="G141" s="504"/>
      <c r="H141" s="504"/>
      <c r="I141" s="505"/>
      <c r="J141" s="519"/>
      <c r="K141" s="263" t="s">
        <v>382</v>
      </c>
      <c r="L141" s="86" t="s">
        <v>381</v>
      </c>
      <c r="M141" s="263" t="s">
        <v>35</v>
      </c>
      <c r="N141" s="228">
        <v>40</v>
      </c>
      <c r="O141" s="228">
        <v>41</v>
      </c>
      <c r="P141" s="228">
        <v>42</v>
      </c>
      <c r="Q141" s="532"/>
      <c r="R141" s="258"/>
      <c r="S141" s="289"/>
      <c r="T141" s="289"/>
      <c r="U141" s="289"/>
      <c r="V141" s="289"/>
      <c r="W141" s="289"/>
    </row>
    <row r="142" spans="1:23" s="259" customFormat="1" ht="38.25" x14ac:dyDescent="0.2">
      <c r="A142" s="486"/>
      <c r="B142" s="488"/>
      <c r="C142" s="499"/>
      <c r="D142" s="499"/>
      <c r="E142" s="503"/>
      <c r="F142" s="504"/>
      <c r="G142" s="504"/>
      <c r="H142" s="504"/>
      <c r="I142" s="505"/>
      <c r="J142" s="519"/>
      <c r="K142" s="263" t="s">
        <v>380</v>
      </c>
      <c r="L142" s="390" t="s">
        <v>985</v>
      </c>
      <c r="M142" s="263" t="s">
        <v>11</v>
      </c>
      <c r="N142" s="228">
        <v>5</v>
      </c>
      <c r="O142" s="228">
        <v>4</v>
      </c>
      <c r="P142" s="228">
        <v>3</v>
      </c>
      <c r="Q142" s="532"/>
      <c r="R142" s="258"/>
      <c r="S142" s="289"/>
      <c r="T142" s="289"/>
      <c r="U142" s="289"/>
      <c r="V142" s="289"/>
      <c r="W142" s="289"/>
    </row>
    <row r="143" spans="1:23" s="259" customFormat="1" ht="13.5" customHeight="1" x14ac:dyDescent="0.2">
      <c r="A143" s="486"/>
      <c r="B143" s="488"/>
      <c r="C143" s="499"/>
      <c r="D143" s="499"/>
      <c r="E143" s="506"/>
      <c r="F143" s="507"/>
      <c r="G143" s="507"/>
      <c r="H143" s="507"/>
      <c r="I143" s="508"/>
      <c r="J143" s="520"/>
      <c r="K143" s="263" t="s">
        <v>986</v>
      </c>
      <c r="L143" s="381" t="s">
        <v>987</v>
      </c>
      <c r="M143" s="346" t="s">
        <v>35</v>
      </c>
      <c r="N143" s="345">
        <v>1</v>
      </c>
      <c r="O143" s="248">
        <v>2</v>
      </c>
      <c r="P143" s="248">
        <v>2</v>
      </c>
      <c r="Q143" s="533"/>
      <c r="R143" s="258"/>
      <c r="S143" s="289"/>
      <c r="T143" s="289"/>
      <c r="U143" s="289"/>
      <c r="V143" s="289"/>
      <c r="W143" s="289"/>
    </row>
    <row r="144" spans="1:23" s="259" customFormat="1" x14ac:dyDescent="0.2">
      <c r="A144" s="486"/>
      <c r="B144" s="488"/>
      <c r="C144" s="499"/>
      <c r="D144" s="499"/>
      <c r="E144" s="86" t="s">
        <v>14</v>
      </c>
      <c r="F144" s="31">
        <v>665</v>
      </c>
      <c r="G144" s="30">
        <v>187.3</v>
      </c>
      <c r="H144" s="94">
        <f>ROUND(G144*Lapas1!$A$1,1)</f>
        <v>204.2</v>
      </c>
      <c r="I144" s="94">
        <f>ROUND(H144*Lapas1!$A$2,1)</f>
        <v>230.7</v>
      </c>
      <c r="J144" s="264"/>
      <c r="K144" s="265"/>
      <c r="L144" s="266"/>
      <c r="M144" s="265"/>
      <c r="N144" s="267"/>
      <c r="O144" s="268"/>
      <c r="P144" s="268"/>
      <c r="Q144" s="268"/>
      <c r="R144" s="258"/>
    </row>
    <row r="145" spans="1:23" s="259" customFormat="1" x14ac:dyDescent="0.2">
      <c r="A145" s="486"/>
      <c r="B145" s="488"/>
      <c r="C145" s="499"/>
      <c r="D145" s="499"/>
      <c r="E145" s="239" t="s">
        <v>22</v>
      </c>
      <c r="F145" s="28">
        <f>SUM(F144:F144)</f>
        <v>665</v>
      </c>
      <c r="G145" s="28">
        <f t="shared" ref="G145:I145" si="28">SUM(G144:G144)</f>
        <v>187.3</v>
      </c>
      <c r="H145" s="28">
        <f t="shared" si="28"/>
        <v>204.2</v>
      </c>
      <c r="I145" s="28">
        <f t="shared" si="28"/>
        <v>230.7</v>
      </c>
      <c r="J145" s="264"/>
      <c r="K145" s="265"/>
      <c r="L145" s="266"/>
      <c r="M145" s="265"/>
      <c r="N145" s="267"/>
      <c r="O145" s="268"/>
      <c r="P145" s="268"/>
      <c r="Q145" s="268"/>
      <c r="R145" s="269">
        <f>(G145-F145)/F145</f>
        <v>-0.71834586466165407</v>
      </c>
    </row>
    <row r="146" spans="1:23" s="259" customFormat="1" x14ac:dyDescent="0.2">
      <c r="A146" s="256" t="s">
        <v>10</v>
      </c>
      <c r="B146" s="77" t="s">
        <v>0</v>
      </c>
      <c r="C146" s="77"/>
      <c r="D146" s="77" t="s">
        <v>18</v>
      </c>
      <c r="E146" s="290" t="s">
        <v>238</v>
      </c>
      <c r="F146" s="282">
        <f>F145</f>
        <v>665</v>
      </c>
      <c r="G146" s="282">
        <f t="shared" ref="G146:I146" si="29">G145</f>
        <v>187.3</v>
      </c>
      <c r="H146" s="282">
        <f t="shared" si="29"/>
        <v>204.2</v>
      </c>
      <c r="I146" s="282">
        <f t="shared" si="29"/>
        <v>230.7</v>
      </c>
      <c r="J146" s="278"/>
      <c r="K146" s="279"/>
      <c r="L146" s="279"/>
      <c r="M146" s="279"/>
      <c r="N146" s="280"/>
      <c r="O146" s="280"/>
      <c r="P146" s="280"/>
      <c r="Q146" s="280"/>
      <c r="R146" s="258"/>
    </row>
    <row r="147" spans="1:23" s="259" customFormat="1" ht="25.5" x14ac:dyDescent="0.2">
      <c r="A147" s="256" t="s">
        <v>10</v>
      </c>
      <c r="B147" s="275" t="s">
        <v>10</v>
      </c>
      <c r="C147" s="77"/>
      <c r="D147" s="77" t="s">
        <v>18</v>
      </c>
      <c r="E147" s="529" t="s">
        <v>379</v>
      </c>
      <c r="F147" s="529"/>
      <c r="G147" s="529"/>
      <c r="H147" s="529"/>
      <c r="I147" s="529"/>
      <c r="J147" s="77" t="s">
        <v>378</v>
      </c>
      <c r="K147" s="260" t="s">
        <v>377</v>
      </c>
      <c r="L147" s="260" t="s">
        <v>376</v>
      </c>
      <c r="M147" s="260" t="s">
        <v>11</v>
      </c>
      <c r="N147" s="249">
        <v>0.5</v>
      </c>
      <c r="O147" s="249">
        <v>0.5</v>
      </c>
      <c r="P147" s="249">
        <v>0.5</v>
      </c>
      <c r="Q147" s="249" t="s">
        <v>481</v>
      </c>
      <c r="R147" s="258"/>
      <c r="S147" s="261"/>
      <c r="T147" s="261"/>
      <c r="U147" s="261"/>
      <c r="V147" s="261"/>
      <c r="W147" s="261"/>
    </row>
    <row r="148" spans="1:23" s="259" customFormat="1" ht="25.5" x14ac:dyDescent="0.2">
      <c r="A148" s="486" t="s">
        <v>10</v>
      </c>
      <c r="B148" s="488" t="s">
        <v>10</v>
      </c>
      <c r="C148" s="499" t="s">
        <v>0</v>
      </c>
      <c r="D148" s="499" t="s">
        <v>21</v>
      </c>
      <c r="E148" s="490" t="s">
        <v>375</v>
      </c>
      <c r="F148" s="490"/>
      <c r="G148" s="490"/>
      <c r="H148" s="490"/>
      <c r="I148" s="490"/>
      <c r="J148" s="499" t="s">
        <v>19</v>
      </c>
      <c r="K148" s="263" t="s">
        <v>374</v>
      </c>
      <c r="L148" s="86" t="s">
        <v>373</v>
      </c>
      <c r="M148" s="263" t="s">
        <v>35</v>
      </c>
      <c r="N148" s="228">
        <v>11</v>
      </c>
      <c r="O148" s="228">
        <v>12</v>
      </c>
      <c r="P148" s="228">
        <v>12</v>
      </c>
      <c r="Q148" s="228" t="s">
        <v>19</v>
      </c>
      <c r="R148" s="258"/>
      <c r="S148" s="530"/>
      <c r="T148" s="530"/>
      <c r="U148" s="530"/>
      <c r="V148" s="530"/>
      <c r="W148" s="530"/>
    </row>
    <row r="149" spans="1:23" s="259" customFormat="1" x14ac:dyDescent="0.2">
      <c r="A149" s="486"/>
      <c r="B149" s="488"/>
      <c r="C149" s="499"/>
      <c r="D149" s="499"/>
      <c r="E149" s="490"/>
      <c r="F149" s="490"/>
      <c r="G149" s="490"/>
      <c r="H149" s="490"/>
      <c r="I149" s="490"/>
      <c r="J149" s="499"/>
      <c r="K149" s="263" t="s">
        <v>372</v>
      </c>
      <c r="L149" s="263" t="s">
        <v>371</v>
      </c>
      <c r="M149" s="263" t="s">
        <v>12</v>
      </c>
      <c r="N149" s="291">
        <v>850</v>
      </c>
      <c r="O149" s="292">
        <v>900</v>
      </c>
      <c r="P149" s="292">
        <v>950</v>
      </c>
      <c r="Q149" s="292" t="s">
        <v>19</v>
      </c>
      <c r="R149" s="258"/>
      <c r="S149" s="289"/>
      <c r="T149" s="289"/>
      <c r="U149" s="289"/>
      <c r="V149" s="289"/>
      <c r="W149" s="289"/>
    </row>
    <row r="150" spans="1:23" s="259" customFormat="1" x14ac:dyDescent="0.2">
      <c r="A150" s="486"/>
      <c r="B150" s="488"/>
      <c r="C150" s="499"/>
      <c r="D150" s="499"/>
      <c r="E150" s="490"/>
      <c r="F150" s="490"/>
      <c r="G150" s="490"/>
      <c r="H150" s="490"/>
      <c r="I150" s="490"/>
      <c r="J150" s="499"/>
      <c r="K150" s="263" t="s">
        <v>370</v>
      </c>
      <c r="L150" s="263" t="s">
        <v>369</v>
      </c>
      <c r="M150" s="263" t="s">
        <v>35</v>
      </c>
      <c r="N150" s="291">
        <v>155</v>
      </c>
      <c r="O150" s="292">
        <v>160</v>
      </c>
      <c r="P150" s="292">
        <v>165</v>
      </c>
      <c r="Q150" s="292" t="s">
        <v>19</v>
      </c>
      <c r="R150" s="258"/>
      <c r="S150" s="289"/>
      <c r="T150" s="289"/>
      <c r="U150" s="289"/>
      <c r="V150" s="289"/>
      <c r="W150" s="289"/>
    </row>
    <row r="151" spans="1:23" s="259" customFormat="1" x14ac:dyDescent="0.2">
      <c r="A151" s="486"/>
      <c r="B151" s="488"/>
      <c r="C151" s="499"/>
      <c r="D151" s="499"/>
      <c r="E151" s="86" t="s">
        <v>14</v>
      </c>
      <c r="F151" s="31">
        <v>156.80000000000001</v>
      </c>
      <c r="G151" s="30">
        <v>169</v>
      </c>
      <c r="H151" s="94">
        <f>ROUND(G151*Lapas1!$A$1,1)</f>
        <v>184.2</v>
      </c>
      <c r="I151" s="94">
        <f>ROUND(H151*Lapas1!$A$2,1)</f>
        <v>208.1</v>
      </c>
      <c r="J151" s="264"/>
      <c r="K151" s="265"/>
      <c r="L151" s="266"/>
      <c r="M151" s="265"/>
      <c r="N151" s="267"/>
      <c r="O151" s="268"/>
      <c r="P151" s="268"/>
      <c r="Q151" s="268"/>
      <c r="R151" s="258"/>
    </row>
    <row r="152" spans="1:23" s="259" customFormat="1" x14ac:dyDescent="0.2">
      <c r="A152" s="486"/>
      <c r="B152" s="488"/>
      <c r="C152" s="499"/>
      <c r="D152" s="499"/>
      <c r="E152" s="86" t="s">
        <v>17</v>
      </c>
      <c r="F152" s="31">
        <v>8</v>
      </c>
      <c r="G152" s="30">
        <v>10</v>
      </c>
      <c r="H152" s="94">
        <f>ROUND(G152*Lapas1!$A$1,1)</f>
        <v>10.9</v>
      </c>
      <c r="I152" s="94">
        <f>ROUND(H152*Lapas1!$A$2,1)</f>
        <v>12.3</v>
      </c>
      <c r="J152" s="264"/>
      <c r="K152" s="265"/>
      <c r="L152" s="266"/>
      <c r="M152" s="265"/>
      <c r="N152" s="267"/>
      <c r="O152" s="268"/>
      <c r="P152" s="268"/>
      <c r="Q152" s="268"/>
      <c r="R152" s="258"/>
    </row>
    <row r="153" spans="1:23" s="259" customFormat="1" x14ac:dyDescent="0.2">
      <c r="A153" s="486"/>
      <c r="B153" s="488"/>
      <c r="C153" s="499"/>
      <c r="D153" s="499"/>
      <c r="E153" s="239" t="s">
        <v>22</v>
      </c>
      <c r="F153" s="28">
        <f>SUM(F151:F152)</f>
        <v>164.8</v>
      </c>
      <c r="G153" s="28">
        <f t="shared" ref="G153:I153" si="30">SUM(G151:G152)</f>
        <v>179</v>
      </c>
      <c r="H153" s="28">
        <f t="shared" si="30"/>
        <v>195.1</v>
      </c>
      <c r="I153" s="28">
        <f t="shared" si="30"/>
        <v>220.4</v>
      </c>
      <c r="J153" s="264"/>
      <c r="K153" s="265"/>
      <c r="L153" s="266"/>
      <c r="M153" s="265"/>
      <c r="N153" s="267"/>
      <c r="O153" s="268"/>
      <c r="P153" s="268"/>
      <c r="Q153" s="268"/>
      <c r="R153" s="269">
        <f>(G153-F153)/F153</f>
        <v>8.616504854368924E-2</v>
      </c>
    </row>
    <row r="154" spans="1:23" s="259" customFormat="1" x14ac:dyDescent="0.2">
      <c r="A154" s="486" t="s">
        <v>10</v>
      </c>
      <c r="B154" s="488" t="s">
        <v>10</v>
      </c>
      <c r="C154" s="489" t="s">
        <v>10</v>
      </c>
      <c r="D154" s="489" t="s">
        <v>78</v>
      </c>
      <c r="E154" s="490" t="s">
        <v>368</v>
      </c>
      <c r="F154" s="490"/>
      <c r="G154" s="490"/>
      <c r="H154" s="490"/>
      <c r="I154" s="490"/>
      <c r="J154" s="499" t="s">
        <v>853</v>
      </c>
      <c r="K154" s="263" t="s">
        <v>367</v>
      </c>
      <c r="L154" s="86" t="s">
        <v>366</v>
      </c>
      <c r="M154" s="263" t="s">
        <v>35</v>
      </c>
      <c r="N154" s="228">
        <v>160</v>
      </c>
      <c r="O154" s="228">
        <v>165</v>
      </c>
      <c r="P154" s="228">
        <v>170</v>
      </c>
      <c r="Q154" s="544" t="s">
        <v>481</v>
      </c>
      <c r="R154" s="258"/>
      <c r="S154" s="530"/>
      <c r="T154" s="530"/>
      <c r="U154" s="530"/>
      <c r="V154" s="530"/>
      <c r="W154" s="530"/>
    </row>
    <row r="155" spans="1:23" s="259" customFormat="1" x14ac:dyDescent="0.2">
      <c r="A155" s="486"/>
      <c r="B155" s="488"/>
      <c r="C155" s="489"/>
      <c r="D155" s="489"/>
      <c r="E155" s="490"/>
      <c r="F155" s="490"/>
      <c r="G155" s="490"/>
      <c r="H155" s="490"/>
      <c r="I155" s="490"/>
      <c r="J155" s="499"/>
      <c r="K155" s="263" t="s">
        <v>365</v>
      </c>
      <c r="L155" s="263" t="s">
        <v>364</v>
      </c>
      <c r="M155" s="263" t="s">
        <v>12</v>
      </c>
      <c r="N155" s="281">
        <v>27</v>
      </c>
      <c r="O155" s="281">
        <v>29</v>
      </c>
      <c r="P155" s="281">
        <v>30</v>
      </c>
      <c r="Q155" s="544"/>
      <c r="R155" s="258"/>
      <c r="S155" s="289"/>
      <c r="T155" s="289"/>
      <c r="U155" s="289"/>
      <c r="V155" s="289"/>
      <c r="W155" s="289"/>
    </row>
    <row r="156" spans="1:23" s="259" customFormat="1" x14ac:dyDescent="0.2">
      <c r="A156" s="486"/>
      <c r="B156" s="488"/>
      <c r="C156" s="489"/>
      <c r="D156" s="489"/>
      <c r="E156" s="86" t="s">
        <v>14</v>
      </c>
      <c r="F156" s="31">
        <v>39.200000000000003</v>
      </c>
      <c r="G156" s="30">
        <v>40.6</v>
      </c>
      <c r="H156" s="94">
        <f>ROUND(G156*Lapas1!$A$1,1)</f>
        <v>44.3</v>
      </c>
      <c r="I156" s="94">
        <f>ROUND(H156*Lapas1!$A$2,1)</f>
        <v>50.1</v>
      </c>
      <c r="J156" s="264"/>
      <c r="K156" s="265"/>
      <c r="L156" s="266"/>
      <c r="M156" s="265"/>
      <c r="N156" s="267"/>
      <c r="O156" s="267"/>
      <c r="P156" s="268"/>
      <c r="Q156" s="268"/>
      <c r="R156" s="264"/>
    </row>
    <row r="157" spans="1:23" s="259" customFormat="1" x14ac:dyDescent="0.2">
      <c r="A157" s="486"/>
      <c r="B157" s="488"/>
      <c r="C157" s="489"/>
      <c r="D157" s="489"/>
      <c r="E157" s="239" t="s">
        <v>22</v>
      </c>
      <c r="F157" s="28">
        <f>SUM(F156:F156)</f>
        <v>39.200000000000003</v>
      </c>
      <c r="G157" s="28">
        <f t="shared" ref="G157:I157" si="31">SUM(G156:G156)</f>
        <v>40.6</v>
      </c>
      <c r="H157" s="28">
        <f t="shared" si="31"/>
        <v>44.3</v>
      </c>
      <c r="I157" s="28">
        <f t="shared" si="31"/>
        <v>50.1</v>
      </c>
      <c r="J157" s="264"/>
      <c r="K157" s="265"/>
      <c r="L157" s="266"/>
      <c r="M157" s="265"/>
      <c r="N157" s="267"/>
      <c r="O157" s="267"/>
      <c r="P157" s="268"/>
      <c r="Q157" s="268"/>
      <c r="R157" s="269">
        <f>(G157-F157)/F157</f>
        <v>3.5714285714285678E-2</v>
      </c>
    </row>
    <row r="158" spans="1:23" s="259" customFormat="1" x14ac:dyDescent="0.2">
      <c r="A158" s="256" t="s">
        <v>10</v>
      </c>
      <c r="B158" s="275" t="s">
        <v>10</v>
      </c>
      <c r="C158" s="276"/>
      <c r="D158" s="276" t="s">
        <v>18</v>
      </c>
      <c r="E158" s="277" t="s">
        <v>238</v>
      </c>
      <c r="F158" s="40">
        <f>F153+F157</f>
        <v>204</v>
      </c>
      <c r="G158" s="40">
        <f t="shared" ref="G158:I158" si="32">G153+G157</f>
        <v>219.6</v>
      </c>
      <c r="H158" s="40">
        <f t="shared" si="32"/>
        <v>239.39999999999998</v>
      </c>
      <c r="I158" s="40">
        <f t="shared" si="32"/>
        <v>270.5</v>
      </c>
      <c r="J158" s="278"/>
      <c r="K158" s="280"/>
      <c r="L158" s="280"/>
      <c r="M158" s="280"/>
      <c r="N158" s="280"/>
      <c r="O158" s="280"/>
      <c r="P158" s="280"/>
      <c r="Q158" s="280"/>
      <c r="R158" s="258"/>
    </row>
    <row r="159" spans="1:23" s="259" customFormat="1" x14ac:dyDescent="0.2">
      <c r="A159" s="283" t="s">
        <v>10</v>
      </c>
      <c r="B159" s="284"/>
      <c r="C159" s="284"/>
      <c r="D159" s="284"/>
      <c r="E159" s="285" t="s">
        <v>239</v>
      </c>
      <c r="F159" s="36">
        <f>F146+F158</f>
        <v>869</v>
      </c>
      <c r="G159" s="36">
        <f t="shared" ref="G159:I159" si="33">G146+G158</f>
        <v>406.9</v>
      </c>
      <c r="H159" s="36">
        <f t="shared" si="33"/>
        <v>443.59999999999997</v>
      </c>
      <c r="I159" s="36">
        <f t="shared" si="33"/>
        <v>501.2</v>
      </c>
      <c r="J159" s="286"/>
      <c r="K159" s="287"/>
      <c r="L159" s="287"/>
      <c r="M159" s="287"/>
      <c r="N159" s="287"/>
      <c r="O159" s="287"/>
      <c r="P159" s="287"/>
      <c r="Q159" s="287"/>
      <c r="R159" s="258"/>
    </row>
    <row r="160" spans="1:23" s="259" customFormat="1" x14ac:dyDescent="0.2">
      <c r="A160" s="256" t="s">
        <v>24</v>
      </c>
      <c r="B160" s="257"/>
      <c r="C160" s="257"/>
      <c r="D160" s="257"/>
      <c r="E160" s="521" t="s">
        <v>363</v>
      </c>
      <c r="F160" s="521"/>
      <c r="G160" s="521"/>
      <c r="H160" s="521"/>
      <c r="I160" s="521"/>
      <c r="J160" s="521"/>
      <c r="K160" s="521"/>
      <c r="L160" s="521"/>
      <c r="M160" s="521"/>
      <c r="N160" s="521"/>
      <c r="O160" s="521"/>
      <c r="P160" s="521"/>
      <c r="Q160" s="521"/>
      <c r="R160" s="258"/>
    </row>
    <row r="161" spans="1:23" s="259" customFormat="1" x14ac:dyDescent="0.2">
      <c r="A161" s="256" t="s">
        <v>24</v>
      </c>
      <c r="B161" s="77" t="s">
        <v>0</v>
      </c>
      <c r="C161" s="77"/>
      <c r="D161" s="77" t="s">
        <v>18</v>
      </c>
      <c r="E161" s="529" t="s">
        <v>877</v>
      </c>
      <c r="F161" s="529"/>
      <c r="G161" s="529"/>
      <c r="H161" s="529"/>
      <c r="I161" s="529"/>
      <c r="J161" s="77" t="s">
        <v>359</v>
      </c>
      <c r="K161" s="260" t="s">
        <v>362</v>
      </c>
      <c r="L161" s="260" t="s">
        <v>361</v>
      </c>
      <c r="M161" s="260" t="s">
        <v>35</v>
      </c>
      <c r="N161" s="249">
        <v>15</v>
      </c>
      <c r="O161" s="249">
        <v>15</v>
      </c>
      <c r="P161" s="249">
        <v>15</v>
      </c>
      <c r="Q161" s="249" t="s">
        <v>482</v>
      </c>
      <c r="R161" s="258"/>
    </row>
    <row r="162" spans="1:23" s="259" customFormat="1" ht="13.5" x14ac:dyDescent="0.2">
      <c r="A162" s="486" t="s">
        <v>24</v>
      </c>
      <c r="B162" s="488" t="s">
        <v>0</v>
      </c>
      <c r="C162" s="499" t="s">
        <v>0</v>
      </c>
      <c r="D162" s="499" t="s">
        <v>78</v>
      </c>
      <c r="E162" s="490" t="s">
        <v>360</v>
      </c>
      <c r="F162" s="490"/>
      <c r="G162" s="490"/>
      <c r="H162" s="490"/>
      <c r="I162" s="490"/>
      <c r="J162" s="262" t="s">
        <v>359</v>
      </c>
      <c r="K162" s="263" t="s">
        <v>358</v>
      </c>
      <c r="L162" s="86" t="s">
        <v>357</v>
      </c>
      <c r="M162" s="263" t="s">
        <v>12</v>
      </c>
      <c r="N162" s="228">
        <v>1</v>
      </c>
      <c r="O162" s="228">
        <v>1</v>
      </c>
      <c r="P162" s="228">
        <v>1</v>
      </c>
      <c r="Q162" s="228" t="s">
        <v>482</v>
      </c>
      <c r="R162" s="258"/>
      <c r="S162" s="530"/>
      <c r="T162" s="530"/>
      <c r="U162" s="530"/>
      <c r="V162" s="530"/>
      <c r="W162" s="530"/>
    </row>
    <row r="163" spans="1:23" s="259" customFormat="1" x14ac:dyDescent="0.2">
      <c r="A163" s="486"/>
      <c r="B163" s="488"/>
      <c r="C163" s="499"/>
      <c r="D163" s="499"/>
      <c r="E163" s="86" t="s">
        <v>14</v>
      </c>
      <c r="F163" s="31">
        <v>165.2</v>
      </c>
      <c r="G163" s="30">
        <v>165.24799999999999</v>
      </c>
      <c r="H163" s="94">
        <f>ROUND(G163*Lapas1!$A$1,1)</f>
        <v>180.1</v>
      </c>
      <c r="I163" s="94">
        <f>ROUND(H163*Lapas1!$A$2,1)</f>
        <v>203.5</v>
      </c>
      <c r="J163" s="264"/>
      <c r="K163" s="265"/>
      <c r="L163" s="266"/>
      <c r="M163" s="265"/>
      <c r="N163" s="293"/>
      <c r="O163" s="293"/>
      <c r="P163" s="265"/>
      <c r="Q163" s="264"/>
      <c r="R163" s="258"/>
    </row>
    <row r="164" spans="1:23" s="259" customFormat="1" x14ac:dyDescent="0.2">
      <c r="A164" s="486"/>
      <c r="B164" s="488"/>
      <c r="C164" s="499"/>
      <c r="D164" s="499"/>
      <c r="E164" s="86" t="s">
        <v>291</v>
      </c>
      <c r="F164" s="31">
        <f>27</f>
        <v>27</v>
      </c>
      <c r="G164" s="30">
        <v>15.2</v>
      </c>
      <c r="H164" s="94">
        <f>ROUND(G164*Lapas1!$A$1,1)</f>
        <v>16.600000000000001</v>
      </c>
      <c r="I164" s="94">
        <f>ROUND(H164*Lapas1!$A$2,1)</f>
        <v>18.8</v>
      </c>
      <c r="J164" s="264"/>
      <c r="K164" s="265"/>
      <c r="L164" s="266"/>
      <c r="M164" s="265"/>
      <c r="N164" s="293"/>
      <c r="O164" s="293"/>
      <c r="P164" s="265"/>
      <c r="Q164" s="264"/>
      <c r="R164" s="258"/>
    </row>
    <row r="165" spans="1:23" s="259" customFormat="1" x14ac:dyDescent="0.2">
      <c r="A165" s="486"/>
      <c r="B165" s="488"/>
      <c r="C165" s="499"/>
      <c r="D165" s="499"/>
      <c r="E165" s="239" t="s">
        <v>22</v>
      </c>
      <c r="F165" s="28">
        <f>SUM(F163:F164)</f>
        <v>192.2</v>
      </c>
      <c r="G165" s="28">
        <f t="shared" ref="G165:I165" si="34">SUM(G163:G164)</f>
        <v>180.44799999999998</v>
      </c>
      <c r="H165" s="28">
        <f t="shared" si="34"/>
        <v>196.7</v>
      </c>
      <c r="I165" s="28">
        <f t="shared" si="34"/>
        <v>222.3</v>
      </c>
      <c r="J165" s="264"/>
      <c r="K165" s="265"/>
      <c r="L165" s="266"/>
      <c r="M165" s="265"/>
      <c r="N165" s="293"/>
      <c r="O165" s="293"/>
      <c r="P165" s="265"/>
      <c r="Q165" s="264"/>
      <c r="R165" s="269">
        <f>(G165-F165)/F165</f>
        <v>-6.1144640998959471E-2</v>
      </c>
    </row>
    <row r="166" spans="1:23" s="259" customFormat="1" ht="25.5" x14ac:dyDescent="0.2">
      <c r="A166" s="486" t="s">
        <v>24</v>
      </c>
      <c r="B166" s="488" t="s">
        <v>0</v>
      </c>
      <c r="C166" s="489" t="s">
        <v>10</v>
      </c>
      <c r="D166" s="499" t="s">
        <v>78</v>
      </c>
      <c r="E166" s="490" t="s">
        <v>876</v>
      </c>
      <c r="F166" s="490"/>
      <c r="G166" s="490"/>
      <c r="H166" s="490"/>
      <c r="I166" s="490"/>
      <c r="J166" s="262" t="s">
        <v>19</v>
      </c>
      <c r="K166" s="263" t="s">
        <v>878</v>
      </c>
      <c r="L166" s="86" t="s">
        <v>879</v>
      </c>
      <c r="M166" s="263" t="s">
        <v>35</v>
      </c>
      <c r="N166" s="228">
        <v>10</v>
      </c>
      <c r="O166" s="228">
        <v>10</v>
      </c>
      <c r="P166" s="228">
        <v>10</v>
      </c>
      <c r="Q166" s="228" t="s">
        <v>19</v>
      </c>
      <c r="R166" s="258"/>
      <c r="S166" s="530"/>
      <c r="T166" s="530"/>
      <c r="U166" s="530"/>
      <c r="V166" s="530"/>
      <c r="W166" s="530"/>
    </row>
    <row r="167" spans="1:23" s="259" customFormat="1" x14ac:dyDescent="0.2">
      <c r="A167" s="486"/>
      <c r="B167" s="488"/>
      <c r="C167" s="489"/>
      <c r="D167" s="499"/>
      <c r="E167" s="86" t="s">
        <v>14</v>
      </c>
      <c r="F167" s="31">
        <v>87</v>
      </c>
      <c r="G167" s="30">
        <v>50</v>
      </c>
      <c r="H167" s="94">
        <f>ROUND(G167*Lapas1!$A$1,1)</f>
        <v>54.5</v>
      </c>
      <c r="I167" s="94">
        <f>ROUND(H167*Lapas1!$A$2,1)</f>
        <v>61.6</v>
      </c>
      <c r="J167" s="264"/>
      <c r="K167" s="265"/>
      <c r="L167" s="266"/>
      <c r="M167" s="265"/>
      <c r="N167" s="293"/>
      <c r="O167" s="293"/>
      <c r="P167" s="265"/>
      <c r="Q167" s="264"/>
      <c r="R167" s="258"/>
    </row>
    <row r="168" spans="1:23" s="259" customFormat="1" x14ac:dyDescent="0.2">
      <c r="A168" s="486"/>
      <c r="B168" s="488"/>
      <c r="C168" s="489"/>
      <c r="D168" s="499"/>
      <c r="E168" s="239" t="s">
        <v>22</v>
      </c>
      <c r="F168" s="28">
        <f>SUM(F167:F167)</f>
        <v>87</v>
      </c>
      <c r="G168" s="28">
        <f t="shared" ref="G168:I168" si="35">SUM(G167:G167)</f>
        <v>50</v>
      </c>
      <c r="H168" s="28">
        <f t="shared" si="35"/>
        <v>54.5</v>
      </c>
      <c r="I168" s="28">
        <f t="shared" si="35"/>
        <v>61.6</v>
      </c>
      <c r="J168" s="264"/>
      <c r="K168" s="265"/>
      <c r="L168" s="266"/>
      <c r="M168" s="265"/>
      <c r="N168" s="293"/>
      <c r="O168" s="293"/>
      <c r="P168" s="265"/>
      <c r="Q168" s="264"/>
      <c r="R168" s="269">
        <f>(G168-F168)/F168</f>
        <v>-0.42528735632183906</v>
      </c>
    </row>
    <row r="169" spans="1:23" s="259" customFormat="1" x14ac:dyDescent="0.2">
      <c r="A169" s="256" t="s">
        <v>24</v>
      </c>
      <c r="B169" s="77" t="s">
        <v>0</v>
      </c>
      <c r="C169" s="276"/>
      <c r="D169" s="276" t="s">
        <v>18</v>
      </c>
      <c r="E169" s="277" t="s">
        <v>238</v>
      </c>
      <c r="F169" s="40">
        <f>F165+F168</f>
        <v>279.2</v>
      </c>
      <c r="G169" s="40">
        <f t="shared" ref="G169:I169" si="36">G165+G168</f>
        <v>230.44799999999998</v>
      </c>
      <c r="H169" s="40">
        <f t="shared" si="36"/>
        <v>251.2</v>
      </c>
      <c r="I169" s="40">
        <f t="shared" si="36"/>
        <v>283.90000000000003</v>
      </c>
      <c r="J169" s="278"/>
      <c r="K169" s="279"/>
      <c r="L169" s="279"/>
      <c r="M169" s="279"/>
      <c r="N169" s="279"/>
      <c r="O169" s="279"/>
      <c r="P169" s="279"/>
      <c r="Q169" s="280"/>
      <c r="R169" s="258"/>
    </row>
    <row r="170" spans="1:23" s="259" customFormat="1" x14ac:dyDescent="0.2">
      <c r="A170" s="283" t="s">
        <v>24</v>
      </c>
      <c r="B170" s="284"/>
      <c r="C170" s="284"/>
      <c r="D170" s="284"/>
      <c r="E170" s="285" t="s">
        <v>239</v>
      </c>
      <c r="F170" s="36">
        <f>F169</f>
        <v>279.2</v>
      </c>
      <c r="G170" s="36">
        <f t="shared" ref="G170:I170" si="37">G169</f>
        <v>230.44799999999998</v>
      </c>
      <c r="H170" s="36">
        <f t="shared" si="37"/>
        <v>251.2</v>
      </c>
      <c r="I170" s="36">
        <f t="shared" si="37"/>
        <v>283.90000000000003</v>
      </c>
      <c r="J170" s="286"/>
      <c r="K170" s="287"/>
      <c r="L170" s="287"/>
      <c r="M170" s="287"/>
      <c r="N170" s="287"/>
      <c r="O170" s="287"/>
      <c r="P170" s="287"/>
      <c r="Q170" s="287"/>
      <c r="R170" s="258"/>
    </row>
    <row r="171" spans="1:23" s="259" customFormat="1" x14ac:dyDescent="0.2">
      <c r="A171" s="256" t="s">
        <v>25</v>
      </c>
      <c r="B171" s="257"/>
      <c r="C171" s="257"/>
      <c r="D171" s="257"/>
      <c r="E171" s="521" t="s">
        <v>991</v>
      </c>
      <c r="F171" s="521"/>
      <c r="G171" s="521"/>
      <c r="H171" s="521"/>
      <c r="I171" s="521"/>
      <c r="J171" s="521"/>
      <c r="K171" s="521"/>
      <c r="L171" s="521"/>
      <c r="M171" s="521"/>
      <c r="N171" s="521"/>
      <c r="O171" s="521"/>
      <c r="P171" s="521"/>
      <c r="Q171" s="521"/>
      <c r="R171" s="258"/>
    </row>
    <row r="172" spans="1:23" s="259" customFormat="1" x14ac:dyDescent="0.2">
      <c r="A172" s="256" t="s">
        <v>25</v>
      </c>
      <c r="B172" s="77" t="s">
        <v>0</v>
      </c>
      <c r="C172" s="77"/>
      <c r="D172" s="77" t="s">
        <v>31</v>
      </c>
      <c r="E172" s="529" t="s">
        <v>990</v>
      </c>
      <c r="F172" s="529"/>
      <c r="G172" s="529"/>
      <c r="H172" s="529"/>
      <c r="I172" s="529"/>
      <c r="J172" s="77" t="s">
        <v>356</v>
      </c>
      <c r="K172" s="260" t="s">
        <v>355</v>
      </c>
      <c r="L172" s="260" t="s">
        <v>354</v>
      </c>
      <c r="M172" s="260" t="s">
        <v>11</v>
      </c>
      <c r="N172" s="249">
        <v>100</v>
      </c>
      <c r="O172" s="249">
        <v>100</v>
      </c>
      <c r="P172" s="249">
        <v>100</v>
      </c>
      <c r="Q172" s="249" t="s">
        <v>477</v>
      </c>
      <c r="R172" s="294"/>
      <c r="S172" s="289"/>
      <c r="T172" s="289"/>
      <c r="U172" s="289"/>
      <c r="V172" s="289"/>
      <c r="W172" s="289"/>
    </row>
    <row r="173" spans="1:23" s="259" customFormat="1" ht="13.5" customHeight="1" x14ac:dyDescent="0.2">
      <c r="A173" s="486" t="s">
        <v>25</v>
      </c>
      <c r="B173" s="488" t="s">
        <v>0</v>
      </c>
      <c r="C173" s="499" t="s">
        <v>0</v>
      </c>
      <c r="D173" s="499" t="s">
        <v>21</v>
      </c>
      <c r="E173" s="500" t="s">
        <v>353</v>
      </c>
      <c r="F173" s="501"/>
      <c r="G173" s="501"/>
      <c r="H173" s="501"/>
      <c r="I173" s="502"/>
      <c r="J173" s="262" t="s">
        <v>19</v>
      </c>
      <c r="K173" s="263" t="s">
        <v>352</v>
      </c>
      <c r="L173" s="86" t="s">
        <v>897</v>
      </c>
      <c r="M173" s="263" t="s">
        <v>12</v>
      </c>
      <c r="N173" s="228">
        <v>2</v>
      </c>
      <c r="O173" s="228">
        <v>2</v>
      </c>
      <c r="P173" s="228">
        <v>2</v>
      </c>
      <c r="Q173" s="228" t="s">
        <v>19</v>
      </c>
      <c r="R173" s="258"/>
      <c r="S173" s="289"/>
      <c r="T173" s="289"/>
      <c r="U173" s="289"/>
      <c r="V173" s="289"/>
      <c r="W173" s="289"/>
    </row>
    <row r="174" spans="1:23" s="259" customFormat="1" ht="13.5" customHeight="1" x14ac:dyDescent="0.2">
      <c r="A174" s="486"/>
      <c r="B174" s="488"/>
      <c r="C174" s="499"/>
      <c r="D174" s="499"/>
      <c r="E174" s="506"/>
      <c r="F174" s="507"/>
      <c r="G174" s="507"/>
      <c r="H174" s="507"/>
      <c r="I174" s="508"/>
      <c r="J174" s="262" t="s">
        <v>19</v>
      </c>
      <c r="K174" s="263" t="s">
        <v>958</v>
      </c>
      <c r="L174" s="86" t="s">
        <v>957</v>
      </c>
      <c r="M174" s="263" t="s">
        <v>12</v>
      </c>
      <c r="N174" s="355">
        <v>50</v>
      </c>
      <c r="O174" s="355">
        <v>53</v>
      </c>
      <c r="P174" s="355">
        <v>55</v>
      </c>
      <c r="Q174" s="228" t="s">
        <v>19</v>
      </c>
      <c r="R174" s="258"/>
      <c r="S174" s="289"/>
      <c r="T174" s="289"/>
      <c r="U174" s="289"/>
      <c r="V174" s="289"/>
      <c r="W174" s="289"/>
    </row>
    <row r="175" spans="1:23" s="259" customFormat="1" x14ac:dyDescent="0.2">
      <c r="A175" s="486"/>
      <c r="B175" s="488"/>
      <c r="C175" s="499"/>
      <c r="D175" s="499"/>
      <c r="E175" s="86" t="s">
        <v>14</v>
      </c>
      <c r="F175" s="31">
        <v>18</v>
      </c>
      <c r="G175" s="30">
        <v>80</v>
      </c>
      <c r="H175" s="94">
        <f>ROUND(G175*Lapas1!$A$1,1)</f>
        <v>87.2</v>
      </c>
      <c r="I175" s="94">
        <f>ROUND(H175*Lapas1!$A$2,1)</f>
        <v>98.5</v>
      </c>
      <c r="J175" s="264"/>
      <c r="K175" s="265"/>
      <c r="L175" s="266"/>
      <c r="M175" s="265"/>
      <c r="N175" s="267"/>
      <c r="O175" s="267"/>
      <c r="P175" s="264"/>
      <c r="Q175" s="264"/>
      <c r="R175" s="258"/>
    </row>
    <row r="176" spans="1:23" s="259" customFormat="1" x14ac:dyDescent="0.2">
      <c r="A176" s="486"/>
      <c r="B176" s="488"/>
      <c r="C176" s="499"/>
      <c r="D176" s="499"/>
      <c r="E176" s="239" t="s">
        <v>22</v>
      </c>
      <c r="F176" s="28">
        <f>SUM(F175:F175)</f>
        <v>18</v>
      </c>
      <c r="G176" s="28">
        <f t="shared" ref="G176:I176" si="38">SUM(G175:G175)</f>
        <v>80</v>
      </c>
      <c r="H176" s="28">
        <f t="shared" si="38"/>
        <v>87.2</v>
      </c>
      <c r="I176" s="28">
        <f t="shared" si="38"/>
        <v>98.5</v>
      </c>
      <c r="J176" s="264"/>
      <c r="K176" s="264"/>
      <c r="L176" s="295"/>
      <c r="M176" s="264"/>
      <c r="N176" s="267"/>
      <c r="O176" s="267"/>
      <c r="P176" s="264"/>
      <c r="Q176" s="264"/>
      <c r="R176" s="269">
        <f>(G176-F176)/F176</f>
        <v>3.4444444444444446</v>
      </c>
    </row>
    <row r="177" spans="1:23" s="259" customFormat="1" x14ac:dyDescent="0.2">
      <c r="A177" s="256" t="s">
        <v>25</v>
      </c>
      <c r="B177" s="77" t="s">
        <v>0</v>
      </c>
      <c r="C177" s="276"/>
      <c r="D177" s="276" t="s">
        <v>31</v>
      </c>
      <c r="E177" s="277" t="s">
        <v>238</v>
      </c>
      <c r="F177" s="40">
        <f>F176</f>
        <v>18</v>
      </c>
      <c r="G177" s="40">
        <f t="shared" ref="G177:I177" si="39">G176</f>
        <v>80</v>
      </c>
      <c r="H177" s="40">
        <f t="shared" si="39"/>
        <v>87.2</v>
      </c>
      <c r="I177" s="40">
        <f t="shared" si="39"/>
        <v>98.5</v>
      </c>
      <c r="J177" s="278"/>
      <c r="K177" s="280"/>
      <c r="L177" s="280"/>
      <c r="M177" s="280"/>
      <c r="N177" s="280"/>
      <c r="O177" s="280"/>
      <c r="P177" s="280"/>
      <c r="Q177" s="280"/>
      <c r="R177" s="258"/>
    </row>
    <row r="178" spans="1:23" s="259" customFormat="1" x14ac:dyDescent="0.2">
      <c r="A178" s="283" t="s">
        <v>25</v>
      </c>
      <c r="B178" s="284"/>
      <c r="C178" s="284"/>
      <c r="D178" s="284"/>
      <c r="E178" s="285" t="s">
        <v>239</v>
      </c>
      <c r="F178" s="36">
        <f t="shared" ref="F178" si="40">F177</f>
        <v>18</v>
      </c>
      <c r="G178" s="36">
        <f t="shared" ref="G178:I178" si="41">G177</f>
        <v>80</v>
      </c>
      <c r="H178" s="36">
        <f t="shared" si="41"/>
        <v>87.2</v>
      </c>
      <c r="I178" s="36">
        <f t="shared" si="41"/>
        <v>98.5</v>
      </c>
      <c r="J178" s="286"/>
      <c r="K178" s="287"/>
      <c r="L178" s="287"/>
      <c r="M178" s="287"/>
      <c r="N178" s="287"/>
      <c r="O178" s="287"/>
      <c r="P178" s="287"/>
      <c r="Q178" s="287"/>
      <c r="R178" s="258"/>
    </row>
    <row r="179" spans="1:23" s="259" customFormat="1" x14ac:dyDescent="0.2">
      <c r="A179" s="256" t="s">
        <v>26</v>
      </c>
      <c r="B179" s="257"/>
      <c r="C179" s="257"/>
      <c r="D179" s="257"/>
      <c r="E179" s="521" t="s">
        <v>351</v>
      </c>
      <c r="F179" s="521"/>
      <c r="G179" s="521"/>
      <c r="H179" s="521"/>
      <c r="I179" s="521"/>
      <c r="J179" s="521"/>
      <c r="K179" s="521"/>
      <c r="L179" s="521"/>
      <c r="M179" s="521"/>
      <c r="N179" s="521"/>
      <c r="O179" s="521"/>
      <c r="P179" s="521"/>
      <c r="Q179" s="521"/>
      <c r="R179" s="258"/>
    </row>
    <row r="180" spans="1:23" s="259" customFormat="1" ht="25.5" x14ac:dyDescent="0.2">
      <c r="A180" s="256" t="s">
        <v>26</v>
      </c>
      <c r="B180" s="77" t="s">
        <v>0</v>
      </c>
      <c r="C180" s="77"/>
      <c r="D180" s="77" t="s">
        <v>31</v>
      </c>
      <c r="E180" s="529" t="s">
        <v>350</v>
      </c>
      <c r="F180" s="529"/>
      <c r="G180" s="529"/>
      <c r="H180" s="529"/>
      <c r="I180" s="529"/>
      <c r="J180" s="77" t="s">
        <v>19</v>
      </c>
      <c r="K180" s="260" t="s">
        <v>349</v>
      </c>
      <c r="L180" s="260" t="s">
        <v>348</v>
      </c>
      <c r="M180" s="260" t="s">
        <v>12</v>
      </c>
      <c r="N180" s="249">
        <v>1</v>
      </c>
      <c r="O180" s="249">
        <v>1</v>
      </c>
      <c r="P180" s="249">
        <v>1</v>
      </c>
      <c r="Q180" s="249" t="s">
        <v>1029</v>
      </c>
      <c r="R180" s="258"/>
      <c r="S180" s="289"/>
      <c r="T180" s="289"/>
      <c r="U180" s="289"/>
      <c r="V180" s="289"/>
      <c r="W180" s="289"/>
    </row>
    <row r="181" spans="1:23" s="259" customFormat="1" ht="25.5" x14ac:dyDescent="0.2">
      <c r="A181" s="486" t="s">
        <v>26</v>
      </c>
      <c r="B181" s="488" t="s">
        <v>0</v>
      </c>
      <c r="C181" s="489" t="s">
        <v>0</v>
      </c>
      <c r="D181" s="489" t="s">
        <v>21</v>
      </c>
      <c r="E181" s="490" t="s">
        <v>347</v>
      </c>
      <c r="F181" s="490"/>
      <c r="G181" s="490"/>
      <c r="H181" s="490"/>
      <c r="I181" s="490"/>
      <c r="J181" s="499" t="s">
        <v>19</v>
      </c>
      <c r="K181" s="263" t="s">
        <v>346</v>
      </c>
      <c r="L181" s="86" t="s">
        <v>345</v>
      </c>
      <c r="M181" s="263" t="s">
        <v>12</v>
      </c>
      <c r="N181" s="228">
        <v>20</v>
      </c>
      <c r="O181" s="228">
        <v>20</v>
      </c>
      <c r="P181" s="228">
        <v>20</v>
      </c>
      <c r="Q181" s="228" t="s">
        <v>19</v>
      </c>
      <c r="R181" s="534"/>
      <c r="S181" s="289"/>
      <c r="T181" s="289"/>
      <c r="U181" s="289"/>
      <c r="V181" s="289"/>
      <c r="W181" s="289"/>
    </row>
    <row r="182" spans="1:23" s="259" customFormat="1" x14ac:dyDescent="0.2">
      <c r="A182" s="486"/>
      <c r="B182" s="488"/>
      <c r="C182" s="489"/>
      <c r="D182" s="489"/>
      <c r="E182" s="490"/>
      <c r="F182" s="490"/>
      <c r="G182" s="490"/>
      <c r="H182" s="490"/>
      <c r="I182" s="490"/>
      <c r="J182" s="499"/>
      <c r="K182" s="263" t="s">
        <v>344</v>
      </c>
      <c r="L182" s="86" t="s">
        <v>343</v>
      </c>
      <c r="M182" s="263" t="s">
        <v>12</v>
      </c>
      <c r="N182" s="228">
        <v>25</v>
      </c>
      <c r="O182" s="228">
        <v>25</v>
      </c>
      <c r="P182" s="228">
        <v>25</v>
      </c>
      <c r="Q182" s="228" t="s">
        <v>19</v>
      </c>
      <c r="R182" s="534"/>
      <c r="S182" s="289"/>
      <c r="T182" s="289"/>
      <c r="U182" s="289"/>
      <c r="V182" s="289"/>
      <c r="W182" s="289"/>
    </row>
    <row r="183" spans="1:23" s="259" customFormat="1" ht="25.5" x14ac:dyDescent="0.2">
      <c r="A183" s="486"/>
      <c r="B183" s="488"/>
      <c r="C183" s="489"/>
      <c r="D183" s="489"/>
      <c r="E183" s="490"/>
      <c r="F183" s="490"/>
      <c r="G183" s="490"/>
      <c r="H183" s="490"/>
      <c r="I183" s="490"/>
      <c r="J183" s="499"/>
      <c r="K183" s="263" t="s">
        <v>342</v>
      </c>
      <c r="L183" s="86" t="s">
        <v>341</v>
      </c>
      <c r="M183" s="263" t="s">
        <v>12</v>
      </c>
      <c r="N183" s="228">
        <v>25</v>
      </c>
      <c r="O183" s="228">
        <v>25</v>
      </c>
      <c r="P183" s="228">
        <v>25</v>
      </c>
      <c r="Q183" s="228" t="s">
        <v>19</v>
      </c>
      <c r="R183" s="534"/>
      <c r="S183" s="289"/>
      <c r="T183" s="289"/>
      <c r="U183" s="289"/>
      <c r="V183" s="289"/>
      <c r="W183" s="289"/>
    </row>
    <row r="184" spans="1:23" s="259" customFormat="1" ht="25.5" x14ac:dyDescent="0.2">
      <c r="A184" s="486"/>
      <c r="B184" s="488"/>
      <c r="C184" s="489"/>
      <c r="D184" s="489"/>
      <c r="E184" s="490"/>
      <c r="F184" s="490"/>
      <c r="G184" s="490"/>
      <c r="H184" s="490"/>
      <c r="I184" s="490"/>
      <c r="J184" s="499"/>
      <c r="K184" s="263" t="s">
        <v>340</v>
      </c>
      <c r="L184" s="263" t="s">
        <v>339</v>
      </c>
      <c r="M184" s="263" t="s">
        <v>12</v>
      </c>
      <c r="N184" s="296">
        <v>30</v>
      </c>
      <c r="O184" s="296">
        <v>30</v>
      </c>
      <c r="P184" s="228">
        <v>30</v>
      </c>
      <c r="Q184" s="228" t="s">
        <v>19</v>
      </c>
      <c r="R184" s="534"/>
      <c r="S184" s="289"/>
      <c r="T184" s="289"/>
      <c r="U184" s="289"/>
      <c r="V184" s="289"/>
      <c r="W184" s="289"/>
    </row>
    <row r="185" spans="1:23" s="259" customFormat="1" x14ac:dyDescent="0.2">
      <c r="A185" s="486"/>
      <c r="B185" s="488"/>
      <c r="C185" s="489"/>
      <c r="D185" s="489"/>
      <c r="E185" s="490"/>
      <c r="F185" s="490"/>
      <c r="G185" s="490"/>
      <c r="H185" s="490"/>
      <c r="I185" s="490"/>
      <c r="J185" s="499"/>
      <c r="K185" s="102" t="s">
        <v>791</v>
      </c>
      <c r="L185" s="297" t="s">
        <v>792</v>
      </c>
      <c r="M185" s="298" t="s">
        <v>12</v>
      </c>
      <c r="N185" s="348">
        <v>3</v>
      </c>
      <c r="O185" s="348">
        <v>3</v>
      </c>
      <c r="P185" s="349">
        <v>3</v>
      </c>
      <c r="Q185" s="228" t="s">
        <v>19</v>
      </c>
      <c r="R185" s="534"/>
      <c r="S185" s="289"/>
      <c r="T185" s="289"/>
      <c r="U185" s="289"/>
      <c r="V185" s="289"/>
      <c r="W185" s="289"/>
    </row>
    <row r="186" spans="1:23" s="259" customFormat="1" x14ac:dyDescent="0.2">
      <c r="A186" s="486"/>
      <c r="B186" s="488"/>
      <c r="C186" s="489"/>
      <c r="D186" s="489"/>
      <c r="E186" s="86" t="s">
        <v>14</v>
      </c>
      <c r="F186" s="31">
        <v>7</v>
      </c>
      <c r="G186" s="30">
        <v>34</v>
      </c>
      <c r="H186" s="94">
        <f>ROUND(G186*Lapas1!$A$1,1)</f>
        <v>37.1</v>
      </c>
      <c r="I186" s="94">
        <f>ROUND(H186*Lapas1!$A$2,1)</f>
        <v>41.9</v>
      </c>
      <c r="J186" s="264"/>
      <c r="K186" s="264"/>
      <c r="L186" s="295"/>
      <c r="M186" s="264"/>
      <c r="N186" s="267"/>
      <c r="O186" s="267"/>
      <c r="P186" s="264"/>
      <c r="Q186" s="264"/>
      <c r="R186" s="258"/>
    </row>
    <row r="187" spans="1:23" s="259" customFormat="1" x14ac:dyDescent="0.2">
      <c r="A187" s="486"/>
      <c r="B187" s="488"/>
      <c r="C187" s="489"/>
      <c r="D187" s="489"/>
      <c r="E187" s="239" t="s">
        <v>22</v>
      </c>
      <c r="F187" s="28">
        <f>SUM(F186:F186)</f>
        <v>7</v>
      </c>
      <c r="G187" s="28">
        <f t="shared" ref="G187:I187" si="42">SUM(G186:G186)</f>
        <v>34</v>
      </c>
      <c r="H187" s="28">
        <f t="shared" si="42"/>
        <v>37.1</v>
      </c>
      <c r="I187" s="28">
        <f t="shared" si="42"/>
        <v>41.9</v>
      </c>
      <c r="J187" s="264"/>
      <c r="K187" s="264"/>
      <c r="L187" s="295"/>
      <c r="M187" s="264"/>
      <c r="N187" s="267"/>
      <c r="O187" s="267"/>
      <c r="P187" s="264"/>
      <c r="Q187" s="264"/>
      <c r="R187" s="269">
        <f>(G187-F187)/F187</f>
        <v>3.8571428571428572</v>
      </c>
    </row>
    <row r="188" spans="1:23" s="259" customFormat="1" x14ac:dyDescent="0.2">
      <c r="A188" s="256" t="s">
        <v>26</v>
      </c>
      <c r="B188" s="77" t="s">
        <v>0</v>
      </c>
      <c r="C188" s="276"/>
      <c r="D188" s="276" t="s">
        <v>31</v>
      </c>
      <c r="E188" s="277" t="s">
        <v>238</v>
      </c>
      <c r="F188" s="40">
        <f t="shared" ref="F188:F189" si="43">F187</f>
        <v>7</v>
      </c>
      <c r="G188" s="40">
        <f t="shared" ref="G188:I188" si="44">G187</f>
        <v>34</v>
      </c>
      <c r="H188" s="40">
        <f t="shared" si="44"/>
        <v>37.1</v>
      </c>
      <c r="I188" s="40">
        <f t="shared" si="44"/>
        <v>41.9</v>
      </c>
      <c r="J188" s="278"/>
      <c r="K188" s="280"/>
      <c r="L188" s="280"/>
      <c r="M188" s="280"/>
      <c r="N188" s="280"/>
      <c r="O188" s="280"/>
      <c r="P188" s="280"/>
      <c r="Q188" s="280"/>
      <c r="R188" s="258"/>
    </row>
    <row r="189" spans="1:23" s="259" customFormat="1" x14ac:dyDescent="0.2">
      <c r="A189" s="283" t="s">
        <v>26</v>
      </c>
      <c r="B189" s="284"/>
      <c r="C189" s="284"/>
      <c r="D189" s="284"/>
      <c r="E189" s="285" t="s">
        <v>239</v>
      </c>
      <c r="F189" s="36">
        <f t="shared" si="43"/>
        <v>7</v>
      </c>
      <c r="G189" s="36">
        <f t="shared" ref="G189:I189" si="45">G188</f>
        <v>34</v>
      </c>
      <c r="H189" s="36">
        <f t="shared" si="45"/>
        <v>37.1</v>
      </c>
      <c r="I189" s="36">
        <f t="shared" si="45"/>
        <v>41.9</v>
      </c>
      <c r="J189" s="286"/>
      <c r="K189" s="287"/>
      <c r="L189" s="287"/>
      <c r="M189" s="287"/>
      <c r="N189" s="287"/>
      <c r="O189" s="287"/>
      <c r="P189" s="287"/>
      <c r="Q189" s="287"/>
      <c r="R189" s="258"/>
    </row>
    <row r="190" spans="1:23" s="259" customFormat="1" x14ac:dyDescent="0.2">
      <c r="A190" s="256" t="s">
        <v>27</v>
      </c>
      <c r="B190" s="257"/>
      <c r="C190" s="257"/>
      <c r="D190" s="257"/>
      <c r="E190" s="521" t="s">
        <v>844</v>
      </c>
      <c r="F190" s="521"/>
      <c r="G190" s="521"/>
      <c r="H190" s="521"/>
      <c r="I190" s="521"/>
      <c r="J190" s="521"/>
      <c r="K190" s="521"/>
      <c r="L190" s="521"/>
      <c r="M190" s="521"/>
      <c r="N190" s="521"/>
      <c r="O190" s="521"/>
      <c r="P190" s="521"/>
      <c r="Q190" s="521"/>
      <c r="R190" s="258"/>
    </row>
    <row r="191" spans="1:23" s="259" customFormat="1" x14ac:dyDescent="0.2">
      <c r="A191" s="256" t="s">
        <v>27</v>
      </c>
      <c r="B191" s="77" t="s">
        <v>0</v>
      </c>
      <c r="C191" s="77"/>
      <c r="D191" s="77" t="s">
        <v>18</v>
      </c>
      <c r="E191" s="529" t="s">
        <v>338</v>
      </c>
      <c r="F191" s="529"/>
      <c r="G191" s="529"/>
      <c r="H191" s="529"/>
      <c r="I191" s="529"/>
      <c r="J191" s="77" t="s">
        <v>334</v>
      </c>
      <c r="K191" s="260" t="s">
        <v>337</v>
      </c>
      <c r="L191" s="260" t="s">
        <v>336</v>
      </c>
      <c r="M191" s="260" t="s">
        <v>35</v>
      </c>
      <c r="N191" s="249">
        <v>4</v>
      </c>
      <c r="O191" s="249">
        <v>4</v>
      </c>
      <c r="P191" s="249">
        <v>4</v>
      </c>
      <c r="Q191" s="249" t="s">
        <v>483</v>
      </c>
      <c r="R191" s="258"/>
    </row>
    <row r="192" spans="1:23" s="259" customFormat="1" x14ac:dyDescent="0.2">
      <c r="A192" s="486" t="s">
        <v>27</v>
      </c>
      <c r="B192" s="488" t="s">
        <v>0</v>
      </c>
      <c r="C192" s="499" t="s">
        <v>0</v>
      </c>
      <c r="D192" s="499" t="s">
        <v>78</v>
      </c>
      <c r="E192" s="490" t="s">
        <v>335</v>
      </c>
      <c r="F192" s="490"/>
      <c r="G192" s="490"/>
      <c r="H192" s="490"/>
      <c r="I192" s="490"/>
      <c r="J192" s="499" t="s">
        <v>334</v>
      </c>
      <c r="K192" s="263" t="s">
        <v>333</v>
      </c>
      <c r="L192" s="86" t="s">
        <v>332</v>
      </c>
      <c r="M192" s="263" t="s">
        <v>35</v>
      </c>
      <c r="N192" s="228">
        <v>4</v>
      </c>
      <c r="O192" s="228">
        <v>4</v>
      </c>
      <c r="P192" s="228">
        <v>4</v>
      </c>
      <c r="Q192" s="544" t="s">
        <v>483</v>
      </c>
      <c r="R192" s="258"/>
      <c r="S192" s="261"/>
      <c r="T192" s="261"/>
      <c r="U192" s="261"/>
      <c r="V192" s="261"/>
      <c r="W192" s="261"/>
    </row>
    <row r="193" spans="1:18" s="259" customFormat="1" x14ac:dyDescent="0.2">
      <c r="A193" s="486"/>
      <c r="B193" s="488"/>
      <c r="C193" s="499"/>
      <c r="D193" s="499"/>
      <c r="E193" s="490"/>
      <c r="F193" s="490"/>
      <c r="G193" s="490"/>
      <c r="H193" s="490"/>
      <c r="I193" s="490"/>
      <c r="J193" s="499"/>
      <c r="K193" s="263" t="s">
        <v>331</v>
      </c>
      <c r="L193" s="86" t="s">
        <v>330</v>
      </c>
      <c r="M193" s="263" t="s">
        <v>12</v>
      </c>
      <c r="N193" s="228">
        <v>1</v>
      </c>
      <c r="O193" s="228">
        <v>1</v>
      </c>
      <c r="P193" s="228">
        <v>1</v>
      </c>
      <c r="Q193" s="544"/>
      <c r="R193" s="258"/>
    </row>
    <row r="194" spans="1:18" s="259" customFormat="1" x14ac:dyDescent="0.2">
      <c r="A194" s="486"/>
      <c r="B194" s="488"/>
      <c r="C194" s="499"/>
      <c r="D194" s="499"/>
      <c r="E194" s="86" t="s">
        <v>14</v>
      </c>
      <c r="F194" s="31">
        <v>20</v>
      </c>
      <c r="G194" s="30">
        <v>70</v>
      </c>
      <c r="H194" s="94">
        <f>ROUND(G194*Lapas1!$A$1,1)</f>
        <v>76.3</v>
      </c>
      <c r="I194" s="94">
        <f>ROUND(H194*Lapas1!$A$2,1)</f>
        <v>86.2</v>
      </c>
      <c r="J194" s="264"/>
      <c r="K194" s="264"/>
      <c r="L194" s="295"/>
      <c r="M194" s="264"/>
      <c r="N194" s="267"/>
      <c r="O194" s="267"/>
      <c r="P194" s="264"/>
      <c r="Q194" s="264"/>
      <c r="R194" s="258"/>
    </row>
    <row r="195" spans="1:18" s="259" customFormat="1" x14ac:dyDescent="0.2">
      <c r="A195" s="486"/>
      <c r="B195" s="488"/>
      <c r="C195" s="499"/>
      <c r="D195" s="499"/>
      <c r="E195" s="239" t="s">
        <v>22</v>
      </c>
      <c r="F195" s="28">
        <f>SUM(F194:F194)</f>
        <v>20</v>
      </c>
      <c r="G195" s="28">
        <f t="shared" ref="G195:I195" si="46">SUM(G194:G194)</f>
        <v>70</v>
      </c>
      <c r="H195" s="28">
        <f t="shared" si="46"/>
        <v>76.3</v>
      </c>
      <c r="I195" s="28">
        <f t="shared" si="46"/>
        <v>86.2</v>
      </c>
      <c r="J195" s="264"/>
      <c r="K195" s="264"/>
      <c r="L195" s="295"/>
      <c r="M195" s="264"/>
      <c r="N195" s="267"/>
      <c r="O195" s="267"/>
      <c r="P195" s="264"/>
      <c r="Q195" s="264"/>
      <c r="R195" s="269">
        <f>(G195-F195)/F195</f>
        <v>2.5</v>
      </c>
    </row>
    <row r="196" spans="1:18" s="259" customFormat="1" x14ac:dyDescent="0.2">
      <c r="A196" s="256" t="s">
        <v>27</v>
      </c>
      <c r="B196" s="77" t="s">
        <v>0</v>
      </c>
      <c r="C196" s="276"/>
      <c r="D196" s="276" t="s">
        <v>18</v>
      </c>
      <c r="E196" s="277" t="s">
        <v>238</v>
      </c>
      <c r="F196" s="40">
        <f t="shared" ref="F196:I197" si="47">F195</f>
        <v>20</v>
      </c>
      <c r="G196" s="40">
        <f t="shared" si="47"/>
        <v>70</v>
      </c>
      <c r="H196" s="40">
        <f t="shared" si="47"/>
        <v>76.3</v>
      </c>
      <c r="I196" s="40">
        <f t="shared" si="47"/>
        <v>86.2</v>
      </c>
      <c r="J196" s="278"/>
      <c r="K196" s="280"/>
      <c r="L196" s="280"/>
      <c r="M196" s="280"/>
      <c r="N196" s="280"/>
      <c r="O196" s="280"/>
      <c r="P196" s="280"/>
      <c r="Q196" s="280"/>
      <c r="R196" s="258"/>
    </row>
    <row r="197" spans="1:18" s="259" customFormat="1" x14ac:dyDescent="0.2">
      <c r="A197" s="283" t="s">
        <v>27</v>
      </c>
      <c r="B197" s="284"/>
      <c r="C197" s="284"/>
      <c r="D197" s="284"/>
      <c r="E197" s="285" t="s">
        <v>239</v>
      </c>
      <c r="F197" s="36">
        <f t="shared" si="47"/>
        <v>20</v>
      </c>
      <c r="G197" s="36">
        <f t="shared" si="47"/>
        <v>70</v>
      </c>
      <c r="H197" s="36">
        <f t="shared" si="47"/>
        <v>76.3</v>
      </c>
      <c r="I197" s="36">
        <f t="shared" si="47"/>
        <v>86.2</v>
      </c>
      <c r="J197" s="286"/>
      <c r="K197" s="287"/>
      <c r="L197" s="287"/>
      <c r="M197" s="287"/>
      <c r="N197" s="287"/>
      <c r="O197" s="287"/>
      <c r="P197" s="287"/>
      <c r="Q197" s="287"/>
      <c r="R197" s="258"/>
    </row>
    <row r="198" spans="1:18" s="259" customFormat="1" x14ac:dyDescent="0.2">
      <c r="A198" s="299"/>
      <c r="B198" s="299"/>
      <c r="C198" s="299"/>
      <c r="D198" s="299"/>
      <c r="E198" s="299" t="s">
        <v>240</v>
      </c>
      <c r="F198" s="21">
        <f>F136+F159+F170+F178+F189+F197</f>
        <v>14862.307000000001</v>
      </c>
      <c r="G198" s="21">
        <f t="shared" ref="G198:I198" si="48">G136+G159+G170+G178+G189+G197</f>
        <v>14418.070000000002</v>
      </c>
      <c r="H198" s="21">
        <f t="shared" si="48"/>
        <v>15715.9</v>
      </c>
      <c r="I198" s="21">
        <f t="shared" si="48"/>
        <v>17758.800000000003</v>
      </c>
      <c r="J198" s="300"/>
      <c r="K198" s="301"/>
      <c r="L198" s="301"/>
      <c r="M198" s="301"/>
      <c r="N198" s="301"/>
      <c r="O198" s="301"/>
      <c r="P198" s="301"/>
      <c r="Q198" s="301"/>
      <c r="R198" s="258"/>
    </row>
    <row r="199" spans="1:18" ht="42" customHeight="1" x14ac:dyDescent="0.2">
      <c r="A199" s="536" t="s">
        <v>790</v>
      </c>
      <c r="B199" s="536"/>
      <c r="C199" s="536"/>
      <c r="D199" s="536"/>
      <c r="E199" s="536"/>
      <c r="F199" s="536"/>
      <c r="G199" s="536"/>
      <c r="H199" s="536"/>
      <c r="I199" s="536"/>
      <c r="J199" s="536"/>
      <c r="K199" s="536"/>
    </row>
    <row r="200" spans="1:18" ht="24.75" customHeight="1" x14ac:dyDescent="0.2">
      <c r="A200" s="535" t="s">
        <v>795</v>
      </c>
      <c r="B200" s="535"/>
      <c r="C200" s="535"/>
      <c r="D200" s="535"/>
      <c r="E200" s="535"/>
      <c r="F200" s="535"/>
      <c r="G200" s="535"/>
      <c r="H200" s="535"/>
      <c r="I200" s="535"/>
      <c r="J200" s="535"/>
      <c r="K200" s="535"/>
    </row>
    <row r="201" spans="1:18" x14ac:dyDescent="0.2">
      <c r="A201" s="302"/>
    </row>
    <row r="202" spans="1:18" x14ac:dyDescent="0.2">
      <c r="A202" s="537" t="s">
        <v>4</v>
      </c>
      <c r="B202" s="537"/>
      <c r="C202" s="537"/>
      <c r="D202" s="537"/>
      <c r="E202" s="537"/>
      <c r="F202" s="537"/>
      <c r="G202" s="537"/>
      <c r="H202" s="537"/>
      <c r="I202" s="537"/>
    </row>
    <row r="203" spans="1:18" ht="26.25" customHeight="1" x14ac:dyDescent="0.2">
      <c r="A203" s="540" t="s">
        <v>13</v>
      </c>
      <c r="B203" s="540"/>
      <c r="C203" s="540"/>
      <c r="D203" s="540"/>
      <c r="E203" s="303" t="s">
        <v>14</v>
      </c>
      <c r="F203" s="28">
        <f>F32+F61+F64+F71+F75+F81+F85+F90+F107+F112+F116+F130+F133+F144+F151+F156+F163+F167+F175+F186+F194+F28</f>
        <v>9962.7000000000007</v>
      </c>
      <c r="G203" s="27">
        <f>G32+G61+G64+G71+G75+G81+G85+G90+G107+G112+G116+G130+G133+G144+G151+G156+G163+G167+G175+G186+G194+G28</f>
        <v>9822.2829999999976</v>
      </c>
      <c r="H203" s="27">
        <f t="shared" ref="H203:I203" si="49">H32+H61+H64+H71+H75+H81+H85+H90+H107+H112+H116+H130+H133+H144+H151+H156+H163+H167+H175+H186+H194+H28</f>
        <v>10706.4</v>
      </c>
      <c r="I203" s="27">
        <f t="shared" si="49"/>
        <v>12098.100000000004</v>
      </c>
    </row>
    <row r="204" spans="1:18" ht="26.25" customHeight="1" x14ac:dyDescent="0.2">
      <c r="A204" s="540" t="s">
        <v>20</v>
      </c>
      <c r="B204" s="540"/>
      <c r="C204" s="540"/>
      <c r="D204" s="540"/>
      <c r="E204" s="303" t="s">
        <v>15</v>
      </c>
      <c r="F204" s="28">
        <f>F19+F23+F29+F33+F41+F44+F49+F52+F65+F78+F82+F93+F108+F117+F125+F164+F86+F72</f>
        <v>4798.4070000000002</v>
      </c>
      <c r="G204" s="27">
        <f>G19+G23+G29+G33+G41+G44+G49+G52+G65+G78+G82+G93+G108+G117+G125+G164+G86+G72</f>
        <v>4477.3869999999988</v>
      </c>
      <c r="H204" s="27">
        <f t="shared" ref="H204:I204" si="50">H19+H23+H29+H33+H41+H44+H49+H52+H65+H78+H82+H93+H108+H117+H125+H164+H86+H72</f>
        <v>4880.4000000000005</v>
      </c>
      <c r="I204" s="27">
        <f t="shared" si="50"/>
        <v>5514.8000000000011</v>
      </c>
    </row>
    <row r="205" spans="1:18" ht="50.25" customHeight="1" x14ac:dyDescent="0.2">
      <c r="A205" s="540" t="s">
        <v>16</v>
      </c>
      <c r="B205" s="540"/>
      <c r="C205" s="540"/>
      <c r="D205" s="540"/>
      <c r="E205" s="303" t="s">
        <v>17</v>
      </c>
      <c r="F205" s="28">
        <f>F109+F118+F152</f>
        <v>101.2</v>
      </c>
      <c r="G205" s="27">
        <f>G109+G118+G152</f>
        <v>118.4</v>
      </c>
      <c r="H205" s="27">
        <f t="shared" ref="H205:I205" si="51">H109+H118+H152</f>
        <v>129.1</v>
      </c>
      <c r="I205" s="27">
        <f t="shared" si="51"/>
        <v>145.9</v>
      </c>
    </row>
    <row r="206" spans="1:18" ht="26.25" customHeight="1" x14ac:dyDescent="0.2">
      <c r="A206" s="540" t="s">
        <v>304</v>
      </c>
      <c r="B206" s="540"/>
      <c r="C206" s="540"/>
      <c r="D206" s="540"/>
      <c r="E206" s="303" t="s">
        <v>232</v>
      </c>
      <c r="F206" s="28"/>
      <c r="G206" s="27"/>
      <c r="H206" s="28"/>
      <c r="I206" s="28"/>
    </row>
    <row r="207" spans="1:18" ht="26.25" customHeight="1" x14ac:dyDescent="0.2">
      <c r="A207" s="540" t="s">
        <v>247</v>
      </c>
      <c r="B207" s="540"/>
      <c r="C207" s="540"/>
      <c r="D207" s="540"/>
      <c r="E207" s="303" t="s">
        <v>18</v>
      </c>
      <c r="F207" s="28"/>
      <c r="G207" s="27"/>
      <c r="H207" s="28"/>
      <c r="I207" s="28"/>
    </row>
    <row r="208" spans="1:18" x14ac:dyDescent="0.2">
      <c r="A208" s="540" t="s">
        <v>169</v>
      </c>
      <c r="B208" s="540"/>
      <c r="C208" s="540"/>
      <c r="D208" s="540"/>
      <c r="E208" s="303" t="s">
        <v>162</v>
      </c>
      <c r="F208" s="28"/>
      <c r="G208" s="27"/>
      <c r="H208" s="28"/>
      <c r="I208" s="28"/>
    </row>
    <row r="209" spans="1:9" ht="24" customHeight="1" x14ac:dyDescent="0.2">
      <c r="A209" s="539" t="s">
        <v>3</v>
      </c>
      <c r="B209" s="539"/>
      <c r="C209" s="539"/>
      <c r="D209" s="539"/>
      <c r="E209" s="539"/>
      <c r="F209" s="52">
        <f>SUM(F203:F205)</f>
        <v>14862.307000000001</v>
      </c>
      <c r="G209" s="52">
        <f t="shared" ref="G209:I209" si="52">SUM(G203:G205)</f>
        <v>14418.069999999996</v>
      </c>
      <c r="H209" s="52">
        <f t="shared" si="52"/>
        <v>15715.9</v>
      </c>
      <c r="I209" s="52">
        <f t="shared" si="52"/>
        <v>17758.800000000007</v>
      </c>
    </row>
    <row r="210" spans="1:9" x14ac:dyDescent="0.2">
      <c r="A210" s="538" t="s">
        <v>7</v>
      </c>
      <c r="B210" s="538"/>
      <c r="C210" s="538"/>
      <c r="D210" s="538"/>
      <c r="E210" s="538"/>
      <c r="F210" s="56"/>
      <c r="G210" s="366"/>
      <c r="H210" s="56"/>
      <c r="I210" s="56"/>
    </row>
    <row r="211" spans="1:9" x14ac:dyDescent="0.2">
      <c r="A211" s="538" t="s">
        <v>5</v>
      </c>
      <c r="B211" s="538"/>
      <c r="C211" s="538"/>
      <c r="D211" s="538"/>
      <c r="E211" s="538"/>
      <c r="F211" s="56">
        <f>F145+F157+F165+F195+F131+F168</f>
        <v>1738.4</v>
      </c>
      <c r="G211" s="56">
        <f t="shared" ref="G211:I211" si="53">G145+G157+G165+G195+G131+G168</f>
        <v>528.34799999999996</v>
      </c>
      <c r="H211" s="56">
        <f t="shared" si="53"/>
        <v>576</v>
      </c>
      <c r="I211" s="56">
        <f t="shared" si="53"/>
        <v>650.90000000000009</v>
      </c>
    </row>
    <row r="212" spans="1:9" x14ac:dyDescent="0.2">
      <c r="A212" s="538" t="s">
        <v>6</v>
      </c>
      <c r="B212" s="538"/>
      <c r="C212" s="538"/>
      <c r="D212" s="538"/>
      <c r="E212" s="538"/>
      <c r="F212" s="56">
        <f>F198-F211</f>
        <v>13123.907000000001</v>
      </c>
      <c r="G212" s="56">
        <f t="shared" ref="G212:I212" si="54">G198-G211</f>
        <v>13889.722000000002</v>
      </c>
      <c r="H212" s="56">
        <f t="shared" si="54"/>
        <v>15139.9</v>
      </c>
      <c r="I212" s="56">
        <f t="shared" si="54"/>
        <v>17107.900000000001</v>
      </c>
    </row>
    <row r="213" spans="1:9" x14ac:dyDescent="0.2">
      <c r="F213" s="15"/>
      <c r="G213" s="11"/>
      <c r="H213" s="15"/>
      <c r="I213" s="15"/>
    </row>
    <row r="214" spans="1:9" hidden="1" x14ac:dyDescent="0.2">
      <c r="E214" s="10" t="s">
        <v>23</v>
      </c>
      <c r="F214" s="13">
        <f>F209-F198</f>
        <v>0</v>
      </c>
      <c r="G214" s="13">
        <f t="shared" ref="G214:I214" si="55">G209-G198</f>
        <v>0</v>
      </c>
      <c r="H214" s="13">
        <f>H209-H198</f>
        <v>0</v>
      </c>
      <c r="I214" s="13">
        <f t="shared" si="55"/>
        <v>0</v>
      </c>
    </row>
    <row r="215" spans="1:9" hidden="1" x14ac:dyDescent="0.2">
      <c r="F215" s="55">
        <f>F211+F212-F198</f>
        <v>0</v>
      </c>
      <c r="G215" s="55">
        <f>G211+G212-G198</f>
        <v>0</v>
      </c>
      <c r="H215" s="55">
        <f t="shared" ref="H215:I215" si="56">H211+H212-H198</f>
        <v>0</v>
      </c>
      <c r="I215" s="55">
        <f t="shared" si="56"/>
        <v>0</v>
      </c>
    </row>
  </sheetData>
  <mergeCells count="245">
    <mergeCell ref="E137:Q137"/>
    <mergeCell ref="C123:C126"/>
    <mergeCell ref="D123:D126"/>
    <mergeCell ref="Q96:Q98"/>
    <mergeCell ref="Q138:Q139"/>
    <mergeCell ref="Q154:Q155"/>
    <mergeCell ref="Q192:Q193"/>
    <mergeCell ref="E179:Q179"/>
    <mergeCell ref="E180:I180"/>
    <mergeCell ref="E181:I185"/>
    <mergeCell ref="E190:Q190"/>
    <mergeCell ref="E191:I191"/>
    <mergeCell ref="E192:I193"/>
    <mergeCell ref="E171:Q171"/>
    <mergeCell ref="E123:I124"/>
    <mergeCell ref="E128:I128"/>
    <mergeCell ref="E129:I129"/>
    <mergeCell ref="E132:I132"/>
    <mergeCell ref="J123:J124"/>
    <mergeCell ref="J96:J98"/>
    <mergeCell ref="E114:I115"/>
    <mergeCell ref="E99:I106"/>
    <mergeCell ref="J99:J106"/>
    <mergeCell ref="J114:J115"/>
    <mergeCell ref="A54:A62"/>
    <mergeCell ref="A129:A131"/>
    <mergeCell ref="E96:I98"/>
    <mergeCell ref="E111:I111"/>
    <mergeCell ref="E160:Q160"/>
    <mergeCell ref="E161:I161"/>
    <mergeCell ref="A148:A153"/>
    <mergeCell ref="A35:A42"/>
    <mergeCell ref="A25:A30"/>
    <mergeCell ref="A31:A34"/>
    <mergeCell ref="D25:D30"/>
    <mergeCell ref="B129:B131"/>
    <mergeCell ref="C129:C131"/>
    <mergeCell ref="D129:D131"/>
    <mergeCell ref="B123:B126"/>
    <mergeCell ref="A132:A134"/>
    <mergeCell ref="B132:B134"/>
    <mergeCell ref="C132:C134"/>
    <mergeCell ref="D132:D134"/>
    <mergeCell ref="A84:A87"/>
    <mergeCell ref="B96:B98"/>
    <mergeCell ref="A88:A91"/>
    <mergeCell ref="A154:A157"/>
    <mergeCell ref="A138:A139"/>
    <mergeCell ref="C114:C119"/>
    <mergeCell ref="D114:D119"/>
    <mergeCell ref="A123:A126"/>
    <mergeCell ref="B162:B165"/>
    <mergeCell ref="A140:A145"/>
    <mergeCell ref="A162:A165"/>
    <mergeCell ref="A121:A122"/>
    <mergeCell ref="A43:A45"/>
    <mergeCell ref="B63:B66"/>
    <mergeCell ref="C63:C66"/>
    <mergeCell ref="D63:D66"/>
    <mergeCell ref="A46:A50"/>
    <mergeCell ref="A51:A53"/>
    <mergeCell ref="A77:A79"/>
    <mergeCell ref="A67:A73"/>
    <mergeCell ref="B67:B73"/>
    <mergeCell ref="C67:C73"/>
    <mergeCell ref="D67:D73"/>
    <mergeCell ref="A74:A76"/>
    <mergeCell ref="D51:D53"/>
    <mergeCell ref="C74:C76"/>
    <mergeCell ref="D74:D76"/>
    <mergeCell ref="A63:A66"/>
    <mergeCell ref="C54:C62"/>
    <mergeCell ref="A202:I202"/>
    <mergeCell ref="A212:E212"/>
    <mergeCell ref="A209:E209"/>
    <mergeCell ref="A210:E210"/>
    <mergeCell ref="A211:E211"/>
    <mergeCell ref="A206:D206"/>
    <mergeCell ref="A207:D207"/>
    <mergeCell ref="A208:D208"/>
    <mergeCell ref="A205:D205"/>
    <mergeCell ref="A204:D204"/>
    <mergeCell ref="A203:D203"/>
    <mergeCell ref="A200:K200"/>
    <mergeCell ref="B148:B153"/>
    <mergeCell ref="B154:B157"/>
    <mergeCell ref="C148:C153"/>
    <mergeCell ref="C154:C157"/>
    <mergeCell ref="J192:J193"/>
    <mergeCell ref="B173:B176"/>
    <mergeCell ref="B181:B187"/>
    <mergeCell ref="J181:J185"/>
    <mergeCell ref="D192:D195"/>
    <mergeCell ref="A192:A195"/>
    <mergeCell ref="C192:C195"/>
    <mergeCell ref="B192:B195"/>
    <mergeCell ref="A199:K199"/>
    <mergeCell ref="R181:R185"/>
    <mergeCell ref="A173:A176"/>
    <mergeCell ref="C173:C176"/>
    <mergeCell ref="D173:D176"/>
    <mergeCell ref="S162:W162"/>
    <mergeCell ref="E162:I162"/>
    <mergeCell ref="C162:C165"/>
    <mergeCell ref="D162:D165"/>
    <mergeCell ref="A166:A168"/>
    <mergeCell ref="B166:B168"/>
    <mergeCell ref="C166:C168"/>
    <mergeCell ref="D166:D168"/>
    <mergeCell ref="E166:I166"/>
    <mergeCell ref="S166:W166"/>
    <mergeCell ref="E172:I172"/>
    <mergeCell ref="A181:A187"/>
    <mergeCell ref="C181:C187"/>
    <mergeCell ref="D181:D187"/>
    <mergeCell ref="E173:I174"/>
    <mergeCell ref="S148:W148"/>
    <mergeCell ref="J154:J155"/>
    <mergeCell ref="S154:W154"/>
    <mergeCell ref="S140:W140"/>
    <mergeCell ref="B138:B139"/>
    <mergeCell ref="J138:J139"/>
    <mergeCell ref="J148:J150"/>
    <mergeCell ref="D148:D153"/>
    <mergeCell ref="D154:D157"/>
    <mergeCell ref="B140:B145"/>
    <mergeCell ref="C140:C145"/>
    <mergeCell ref="D140:D145"/>
    <mergeCell ref="E138:I139"/>
    <mergeCell ref="E147:I147"/>
    <mergeCell ref="E148:I150"/>
    <mergeCell ref="E154:I155"/>
    <mergeCell ref="C138:C139"/>
    <mergeCell ref="E140:I143"/>
    <mergeCell ref="J140:J143"/>
    <mergeCell ref="Q140:Q143"/>
    <mergeCell ref="D138:D139"/>
    <mergeCell ref="R11:R12"/>
    <mergeCell ref="B15:B16"/>
    <mergeCell ref="J15:J16"/>
    <mergeCell ref="J21:J22"/>
    <mergeCell ref="Q15:Q16"/>
    <mergeCell ref="B35:B42"/>
    <mergeCell ref="C35:C42"/>
    <mergeCell ref="B43:B45"/>
    <mergeCell ref="C43:C45"/>
    <mergeCell ref="B25:B30"/>
    <mergeCell ref="C25:C30"/>
    <mergeCell ref="B31:B34"/>
    <mergeCell ref="C31:C34"/>
    <mergeCell ref="E43:I43"/>
    <mergeCell ref="A11:C11"/>
    <mergeCell ref="D11:D12"/>
    <mergeCell ref="Q11:Q12"/>
    <mergeCell ref="E15:I16"/>
    <mergeCell ref="E21:I22"/>
    <mergeCell ref="D31:D34"/>
    <mergeCell ref="D35:D42"/>
    <mergeCell ref="E25:I27"/>
    <mergeCell ref="E31:I31"/>
    <mergeCell ref="E17:I18"/>
    <mergeCell ref="E14:Q14"/>
    <mergeCell ref="C15:C16"/>
    <mergeCell ref="D15:D16"/>
    <mergeCell ref="D21:D24"/>
    <mergeCell ref="L1:N1"/>
    <mergeCell ref="E11:E12"/>
    <mergeCell ref="F11:F12"/>
    <mergeCell ref="G11:G12"/>
    <mergeCell ref="H11:H12"/>
    <mergeCell ref="I11:I12"/>
    <mergeCell ref="J11:J12"/>
    <mergeCell ref="K11:K12"/>
    <mergeCell ref="L11:M11"/>
    <mergeCell ref="N11:P11"/>
    <mergeCell ref="A10:P10"/>
    <mergeCell ref="A15:A16"/>
    <mergeCell ref="A17:A20"/>
    <mergeCell ref="A21:A24"/>
    <mergeCell ref="B17:B20"/>
    <mergeCell ref="C17:C20"/>
    <mergeCell ref="B21:B24"/>
    <mergeCell ref="C21:C24"/>
    <mergeCell ref="D17:D20"/>
    <mergeCell ref="J25:J27"/>
    <mergeCell ref="D43:D45"/>
    <mergeCell ref="D46:D50"/>
    <mergeCell ref="J35:J40"/>
    <mergeCell ref="E35:I40"/>
    <mergeCell ref="E46:I48"/>
    <mergeCell ref="B46:B50"/>
    <mergeCell ref="C46:C50"/>
    <mergeCell ref="B51:B53"/>
    <mergeCell ref="C51:C53"/>
    <mergeCell ref="B54:B62"/>
    <mergeCell ref="E51:I51"/>
    <mergeCell ref="E54:I60"/>
    <mergeCell ref="J54:J60"/>
    <mergeCell ref="E63:I63"/>
    <mergeCell ref="B74:B76"/>
    <mergeCell ref="B88:B91"/>
    <mergeCell ref="C88:C91"/>
    <mergeCell ref="D88:D91"/>
    <mergeCell ref="E74:I74"/>
    <mergeCell ref="E88:I89"/>
    <mergeCell ref="J67:J70"/>
    <mergeCell ref="D54:D62"/>
    <mergeCell ref="A80:A83"/>
    <mergeCell ref="E67:I70"/>
    <mergeCell ref="E80:I80"/>
    <mergeCell ref="B77:B79"/>
    <mergeCell ref="C77:C79"/>
    <mergeCell ref="D77:D79"/>
    <mergeCell ref="E77:I77"/>
    <mergeCell ref="B84:B87"/>
    <mergeCell ref="C84:C87"/>
    <mergeCell ref="D84:D87"/>
    <mergeCell ref="E84:I84"/>
    <mergeCell ref="B80:B83"/>
    <mergeCell ref="C80:C83"/>
    <mergeCell ref="D80:D83"/>
    <mergeCell ref="J121:J122"/>
    <mergeCell ref="Q121:Q122"/>
    <mergeCell ref="A114:A119"/>
    <mergeCell ref="A96:A98"/>
    <mergeCell ref="C96:C98"/>
    <mergeCell ref="D96:D98"/>
    <mergeCell ref="A99:A110"/>
    <mergeCell ref="A92:A94"/>
    <mergeCell ref="B92:B94"/>
    <mergeCell ref="C92:C94"/>
    <mergeCell ref="D92:D94"/>
    <mergeCell ref="E92:I92"/>
    <mergeCell ref="B121:B122"/>
    <mergeCell ref="C121:C122"/>
    <mergeCell ref="D121:D122"/>
    <mergeCell ref="E121:I122"/>
    <mergeCell ref="B99:B110"/>
    <mergeCell ref="C99:C110"/>
    <mergeCell ref="D99:D110"/>
    <mergeCell ref="A111:A113"/>
    <mergeCell ref="B111:B113"/>
    <mergeCell ref="C111:C113"/>
    <mergeCell ref="D111:D113"/>
    <mergeCell ref="B114:B119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4" manualBreakCount="4">
    <brk id="34" max="16" man="1"/>
    <brk id="95" max="16" man="1"/>
    <brk id="136" max="16" man="1"/>
    <brk id="170" max="16" man="1"/>
  </rowBreaks>
  <colBreaks count="1" manualBreakCount="1">
    <brk id="18" max="193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zoomScale="70" zoomScaleNormal="70" zoomScaleSheetLayoutView="70" workbookViewId="0">
      <pane ySplit="13" topLeftCell="A14" activePane="bottomLeft" state="frozen"/>
      <selection pane="bottomLeft" activeCell="B14" sqref="B14"/>
    </sheetView>
  </sheetViews>
  <sheetFormatPr defaultColWidth="9.140625" defaultRowHeight="12.75" x14ac:dyDescent="0.2"/>
  <cols>
    <col min="1" max="2" width="5" style="11" customWidth="1"/>
    <col min="3" max="4" width="5" style="9" customWidth="1"/>
    <col min="5" max="5" width="17.7109375" style="9" customWidth="1"/>
    <col min="6" max="6" width="13" style="9" customWidth="1"/>
    <col min="7" max="7" width="13" style="10" customWidth="1"/>
    <col min="8" max="9" width="13" style="9" customWidth="1"/>
    <col min="10" max="11" width="24.7109375" style="9" customWidth="1"/>
    <col min="12" max="12" width="49.7109375" style="9" customWidth="1"/>
    <col min="13" max="16" width="6.28515625" style="9" customWidth="1"/>
    <col min="17" max="17" width="32.7109375" style="9" customWidth="1"/>
    <col min="18" max="18" width="11.7109375" style="53" hidden="1" customWidth="1"/>
    <col min="19" max="19" width="46.7109375" style="9" bestFit="1" customWidth="1"/>
    <col min="20" max="16384" width="9.140625" style="9"/>
  </cols>
  <sheetData>
    <row r="1" spans="1:18" x14ac:dyDescent="0.2">
      <c r="Q1" s="9" t="str">
        <f>'001'!Q1</f>
        <v>PATVIRTINTA</v>
      </c>
    </row>
    <row r="2" spans="1:18" x14ac:dyDescent="0.2">
      <c r="Q2" s="9" t="str">
        <f>'001'!Q2</f>
        <v>Plungės rajono savivaldybės tarybos</v>
      </c>
    </row>
    <row r="3" spans="1:18" x14ac:dyDescent="0.2">
      <c r="Q3" s="9" t="str">
        <f>'001'!Q3</f>
        <v>2026 m. vasario 12 d. sprendimu Nr. T1-</v>
      </c>
    </row>
    <row r="4" spans="1:18" hidden="1" x14ac:dyDescent="0.2">
      <c r="Q4" s="9" t="str">
        <f>'001'!Q4</f>
        <v xml:space="preserve">(2026 m. mėn. d. sprendimo Nr. </v>
      </c>
    </row>
    <row r="5" spans="1:18" hidden="1" x14ac:dyDescent="0.2">
      <c r="Q5" s="9" t="str">
        <f>'001'!Q5</f>
        <v>T1- redakcija)</v>
      </c>
    </row>
    <row r="6" spans="1:18" x14ac:dyDescent="0.2">
      <c r="Q6" s="9" t="str">
        <f>'001'!Q6</f>
        <v xml:space="preserve">Plungės rajono savivaldybės </v>
      </c>
    </row>
    <row r="7" spans="1:18" x14ac:dyDescent="0.2">
      <c r="L7" s="70"/>
      <c r="Q7" s="9" t="str">
        <f>'001'!Q7</f>
        <v>2026–2028 metų  strateginio veiklos plano</v>
      </c>
    </row>
    <row r="8" spans="1:18" x14ac:dyDescent="0.2">
      <c r="L8" s="50"/>
      <c r="Q8" s="9" t="s">
        <v>797</v>
      </c>
    </row>
    <row r="9" spans="1:18" x14ac:dyDescent="0.2">
      <c r="H9" s="50"/>
    </row>
    <row r="10" spans="1:18" x14ac:dyDescent="0.2">
      <c r="A10" s="460" t="s">
        <v>923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76" t="s">
        <v>244</v>
      </c>
      <c r="R10" s="64"/>
    </row>
    <row r="11" spans="1:18" ht="27" customHeight="1" x14ac:dyDescent="0.2">
      <c r="A11" s="418" t="str">
        <f>'001'!A11:R13</f>
        <v>Kodas</v>
      </c>
      <c r="B11" s="418"/>
      <c r="C11" s="418"/>
      <c r="D11" s="443" t="str">
        <f>'001'!D11:D12</f>
        <v>Uždavinio/ priemonės požymis *</v>
      </c>
      <c r="E11" s="418" t="str">
        <f>'001'!E11:E12</f>
        <v>Programos tikslo/uždavinio/priemonės pavadinimas ir finansavimo šaltiniai</v>
      </c>
      <c r="F11" s="418" t="str">
        <f>'001'!F11:F12</f>
        <v>2025-ųjų m. asignavimai ir kitos lėšos (2025-02-13 datai)</v>
      </c>
      <c r="G11" s="442" t="str">
        <f>'001'!G11:G12</f>
        <v>2026-ųjų m. asignavimai ir kitos lėšos</v>
      </c>
      <c r="H11" s="418" t="str">
        <f>'001'!H11:H12</f>
        <v>Planuojami 2027-ųjų m. asignavimai ir kitos lėšos</v>
      </c>
      <c r="I11" s="418" t="str">
        <f>'001'!I11:I12</f>
        <v>Planuojami 2028-ųjų m. asignavimai ir kitos lėšos</v>
      </c>
      <c r="J11" s="418" t="str">
        <f>'001'!J11:J12</f>
        <v>Savivaldybės strateginio plėtros plano tikslo/uždavinio kodas**</v>
      </c>
      <c r="K11" s="418" t="str">
        <f>'001'!K11:K12</f>
        <v>Stebėsenos rodiklio kodas</v>
      </c>
      <c r="L11" s="417" t="str">
        <f>'001'!L11:M11</f>
        <v>Stebėsenos rodiklio</v>
      </c>
      <c r="M11" s="417"/>
      <c r="N11" s="417" t="str">
        <f>'001'!N11:P11</f>
        <v>Siektinos stebėsenos rodiklių reikšmės</v>
      </c>
      <c r="O11" s="417"/>
      <c r="P11" s="417"/>
      <c r="Q11" s="417" t="str">
        <f>'001'!Q11:Q12</f>
        <v>Savivaldybės strateginio plėtros plano rodiklio kodas**</v>
      </c>
      <c r="R11" s="441" t="str">
        <f>'001'!R11:R12</f>
        <v>Asignavimų skirtumas (2024 m.- 2025 m.)</v>
      </c>
    </row>
    <row r="12" spans="1:18" ht="82.5" customHeight="1" x14ac:dyDescent="0.2">
      <c r="A12" s="68" t="str">
        <f>'001'!A12</f>
        <v>tikslo</v>
      </c>
      <c r="B12" s="68" t="str">
        <f>'001'!B12</f>
        <v>uždavinio</v>
      </c>
      <c r="C12" s="68" t="str">
        <f>'001'!C12</f>
        <v>priemonės</v>
      </c>
      <c r="D12" s="443"/>
      <c r="E12" s="418"/>
      <c r="F12" s="418"/>
      <c r="G12" s="442"/>
      <c r="H12" s="418"/>
      <c r="I12" s="418"/>
      <c r="J12" s="418"/>
      <c r="K12" s="418"/>
      <c r="L12" s="72" t="str">
        <f>'001'!L12</f>
        <v>pavadinimas</v>
      </c>
      <c r="M12" s="72" t="str">
        <f>'001'!M12</f>
        <v>mato vnt.</v>
      </c>
      <c r="N12" s="72">
        <f>'001'!N12</f>
        <v>2026</v>
      </c>
      <c r="O12" s="72">
        <f>'001'!O12</f>
        <v>2027</v>
      </c>
      <c r="P12" s="72">
        <f>'001'!P12</f>
        <v>2028</v>
      </c>
      <c r="Q12" s="417"/>
      <c r="R12" s="441"/>
    </row>
    <row r="13" spans="1:18" x14ac:dyDescent="0.2">
      <c r="A13" s="47">
        <f>'001'!A13</f>
        <v>1</v>
      </c>
      <c r="B13" s="47">
        <f>'001'!B13</f>
        <v>2</v>
      </c>
      <c r="C13" s="47">
        <f>'001'!C13</f>
        <v>3</v>
      </c>
      <c r="D13" s="47">
        <f>'001'!D13</f>
        <v>4</v>
      </c>
      <c r="E13" s="47">
        <f>'001'!E13</f>
        <v>5</v>
      </c>
      <c r="F13" s="47">
        <f>'001'!F13</f>
        <v>6</v>
      </c>
      <c r="G13" s="48">
        <f>'001'!G13</f>
        <v>7</v>
      </c>
      <c r="H13" s="47">
        <f>'001'!H13</f>
        <v>8</v>
      </c>
      <c r="I13" s="47">
        <f>'001'!I13</f>
        <v>9</v>
      </c>
      <c r="J13" s="47">
        <f>'001'!J13</f>
        <v>10</v>
      </c>
      <c r="K13" s="47">
        <f>'001'!K13</f>
        <v>11</v>
      </c>
      <c r="L13" s="47">
        <f>'001'!L13</f>
        <v>12</v>
      </c>
      <c r="M13" s="47">
        <f>'001'!M13</f>
        <v>13</v>
      </c>
      <c r="N13" s="47">
        <f>'001'!N13</f>
        <v>14</v>
      </c>
      <c r="O13" s="47">
        <f>'001'!O13</f>
        <v>15</v>
      </c>
      <c r="P13" s="47">
        <f>'001'!P13</f>
        <v>16</v>
      </c>
      <c r="Q13" s="47">
        <f>'001'!Q13</f>
        <v>17</v>
      </c>
      <c r="R13" s="47">
        <f>'001'!R13</f>
        <v>18</v>
      </c>
    </row>
    <row r="14" spans="1:18" s="70" customFormat="1" x14ac:dyDescent="0.2">
      <c r="A14" s="142" t="s">
        <v>0</v>
      </c>
      <c r="B14" s="46"/>
      <c r="C14" s="46"/>
      <c r="D14" s="46"/>
      <c r="E14" s="472" t="s">
        <v>514</v>
      </c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216"/>
    </row>
    <row r="15" spans="1:18" s="70" customFormat="1" ht="38.25" x14ac:dyDescent="0.2">
      <c r="A15" s="142" t="s">
        <v>0</v>
      </c>
      <c r="B15" s="147" t="s">
        <v>0</v>
      </c>
      <c r="C15" s="146"/>
      <c r="D15" s="146" t="s">
        <v>31</v>
      </c>
      <c r="E15" s="469" t="s">
        <v>845</v>
      </c>
      <c r="F15" s="469"/>
      <c r="G15" s="469"/>
      <c r="H15" s="469"/>
      <c r="I15" s="469"/>
      <c r="J15" s="146" t="s">
        <v>492</v>
      </c>
      <c r="K15" s="34" t="s">
        <v>513</v>
      </c>
      <c r="L15" s="34" t="s">
        <v>512</v>
      </c>
      <c r="M15" s="34" t="s">
        <v>11</v>
      </c>
      <c r="N15" s="148">
        <v>70</v>
      </c>
      <c r="O15" s="148">
        <v>70</v>
      </c>
      <c r="P15" s="148">
        <v>70</v>
      </c>
      <c r="Q15" s="148" t="s">
        <v>515</v>
      </c>
      <c r="R15" s="216"/>
    </row>
    <row r="16" spans="1:18" s="70" customFormat="1" ht="25.5" x14ac:dyDescent="0.2">
      <c r="A16" s="454" t="s">
        <v>0</v>
      </c>
      <c r="B16" s="464" t="s">
        <v>0</v>
      </c>
      <c r="C16" s="450" t="s">
        <v>0</v>
      </c>
      <c r="D16" s="450" t="s">
        <v>21</v>
      </c>
      <c r="E16" s="465" t="s">
        <v>511</v>
      </c>
      <c r="F16" s="465"/>
      <c r="G16" s="465"/>
      <c r="H16" s="465"/>
      <c r="I16" s="465"/>
      <c r="J16" s="450" t="s">
        <v>19</v>
      </c>
      <c r="K16" s="33" t="s">
        <v>510</v>
      </c>
      <c r="L16" s="33" t="s">
        <v>509</v>
      </c>
      <c r="M16" s="61" t="s">
        <v>12</v>
      </c>
      <c r="N16" s="145">
        <v>20</v>
      </c>
      <c r="O16" s="145">
        <v>20</v>
      </c>
      <c r="P16" s="145">
        <v>20</v>
      </c>
      <c r="Q16" s="145" t="s">
        <v>19</v>
      </c>
      <c r="R16" s="216"/>
    </row>
    <row r="17" spans="1:18" s="70" customFormat="1" ht="25.5" x14ac:dyDescent="0.2">
      <c r="A17" s="454"/>
      <c r="B17" s="464"/>
      <c r="C17" s="450"/>
      <c r="D17" s="450"/>
      <c r="E17" s="465"/>
      <c r="F17" s="465"/>
      <c r="G17" s="465"/>
      <c r="H17" s="465"/>
      <c r="I17" s="465"/>
      <c r="J17" s="450"/>
      <c r="K17" s="33" t="s">
        <v>508</v>
      </c>
      <c r="L17" s="33" t="s">
        <v>507</v>
      </c>
      <c r="M17" s="61" t="s">
        <v>12</v>
      </c>
      <c r="N17" s="145">
        <v>20</v>
      </c>
      <c r="O17" s="145">
        <v>20</v>
      </c>
      <c r="P17" s="145">
        <v>20</v>
      </c>
      <c r="Q17" s="145" t="s">
        <v>19</v>
      </c>
      <c r="R17" s="216"/>
    </row>
    <row r="18" spans="1:18" s="70" customFormat="1" ht="38.25" x14ac:dyDescent="0.2">
      <c r="A18" s="454"/>
      <c r="B18" s="464"/>
      <c r="C18" s="450"/>
      <c r="D18" s="450"/>
      <c r="E18" s="465"/>
      <c r="F18" s="465"/>
      <c r="G18" s="465"/>
      <c r="H18" s="465"/>
      <c r="I18" s="465"/>
      <c r="J18" s="450"/>
      <c r="K18" s="33" t="s">
        <v>506</v>
      </c>
      <c r="L18" s="33" t="s">
        <v>505</v>
      </c>
      <c r="M18" s="61" t="s">
        <v>12</v>
      </c>
      <c r="N18" s="145">
        <v>25</v>
      </c>
      <c r="O18" s="145">
        <v>25</v>
      </c>
      <c r="P18" s="145">
        <v>25</v>
      </c>
      <c r="Q18" s="145" t="s">
        <v>19</v>
      </c>
      <c r="R18" s="62"/>
    </row>
    <row r="19" spans="1:18" s="70" customFormat="1" ht="25.5" x14ac:dyDescent="0.2">
      <c r="A19" s="454"/>
      <c r="B19" s="464"/>
      <c r="C19" s="450"/>
      <c r="D19" s="450"/>
      <c r="E19" s="465"/>
      <c r="F19" s="465"/>
      <c r="G19" s="465"/>
      <c r="H19" s="465"/>
      <c r="I19" s="465"/>
      <c r="J19" s="450"/>
      <c r="K19" s="33" t="s">
        <v>504</v>
      </c>
      <c r="L19" s="33" t="s">
        <v>503</v>
      </c>
      <c r="M19" s="61" t="s">
        <v>502</v>
      </c>
      <c r="N19" s="145">
        <v>4</v>
      </c>
      <c r="O19" s="145">
        <v>4</v>
      </c>
      <c r="P19" s="145">
        <v>4</v>
      </c>
      <c r="Q19" s="145" t="s">
        <v>19</v>
      </c>
      <c r="R19" s="216"/>
    </row>
    <row r="20" spans="1:18" s="70" customFormat="1" ht="25.5" x14ac:dyDescent="0.2">
      <c r="A20" s="454"/>
      <c r="B20" s="464"/>
      <c r="C20" s="450"/>
      <c r="D20" s="450"/>
      <c r="E20" s="465"/>
      <c r="F20" s="465"/>
      <c r="G20" s="465"/>
      <c r="H20" s="465"/>
      <c r="I20" s="465"/>
      <c r="J20" s="450"/>
      <c r="K20" s="33" t="s">
        <v>501</v>
      </c>
      <c r="L20" s="33" t="s">
        <v>500</v>
      </c>
      <c r="M20" s="61" t="s">
        <v>499</v>
      </c>
      <c r="N20" s="145">
        <v>80</v>
      </c>
      <c r="O20" s="145">
        <v>80</v>
      </c>
      <c r="P20" s="145">
        <v>80</v>
      </c>
      <c r="Q20" s="145" t="s">
        <v>19</v>
      </c>
      <c r="R20" s="216"/>
    </row>
    <row r="21" spans="1:18" s="70" customFormat="1" ht="25.5" x14ac:dyDescent="0.2">
      <c r="A21" s="454"/>
      <c r="B21" s="464"/>
      <c r="C21" s="450"/>
      <c r="D21" s="450"/>
      <c r="E21" s="465"/>
      <c r="F21" s="465"/>
      <c r="G21" s="465"/>
      <c r="H21" s="465"/>
      <c r="I21" s="465"/>
      <c r="J21" s="450"/>
      <c r="K21" s="33" t="s">
        <v>498</v>
      </c>
      <c r="L21" s="33" t="s">
        <v>496</v>
      </c>
      <c r="M21" s="61" t="s">
        <v>12</v>
      </c>
      <c r="N21" s="145">
        <v>20</v>
      </c>
      <c r="O21" s="145">
        <v>20</v>
      </c>
      <c r="P21" s="145">
        <v>20</v>
      </c>
      <c r="Q21" s="145" t="s">
        <v>19</v>
      </c>
      <c r="R21" s="216"/>
    </row>
    <row r="22" spans="1:18" s="70" customFormat="1" ht="25.5" x14ac:dyDescent="0.2">
      <c r="A22" s="454"/>
      <c r="B22" s="464"/>
      <c r="C22" s="450"/>
      <c r="D22" s="450"/>
      <c r="E22" s="465"/>
      <c r="F22" s="465"/>
      <c r="G22" s="465"/>
      <c r="H22" s="465"/>
      <c r="I22" s="465"/>
      <c r="J22" s="450"/>
      <c r="K22" s="33" t="s">
        <v>497</v>
      </c>
      <c r="L22" s="33" t="s">
        <v>494</v>
      </c>
      <c r="M22" s="61" t="s">
        <v>12</v>
      </c>
      <c r="N22" s="145">
        <v>5</v>
      </c>
      <c r="O22" s="145">
        <v>5</v>
      </c>
      <c r="P22" s="145">
        <v>5</v>
      </c>
      <c r="Q22" s="145" t="s">
        <v>19</v>
      </c>
      <c r="R22" s="216"/>
    </row>
    <row r="23" spans="1:18" s="70" customFormat="1" x14ac:dyDescent="0.2">
      <c r="A23" s="454"/>
      <c r="B23" s="464"/>
      <c r="C23" s="450"/>
      <c r="D23" s="450"/>
      <c r="E23" s="465"/>
      <c r="F23" s="465"/>
      <c r="G23" s="465"/>
      <c r="H23" s="465"/>
      <c r="I23" s="465"/>
      <c r="J23" s="450"/>
      <c r="K23" s="33" t="s">
        <v>495</v>
      </c>
      <c r="L23" s="33" t="s">
        <v>493</v>
      </c>
      <c r="M23" s="61" t="s">
        <v>12</v>
      </c>
      <c r="N23" s="145">
        <v>50</v>
      </c>
      <c r="O23" s="145">
        <v>50</v>
      </c>
      <c r="P23" s="145">
        <v>50</v>
      </c>
      <c r="Q23" s="145" t="s">
        <v>19</v>
      </c>
      <c r="R23" s="216"/>
    </row>
    <row r="24" spans="1:18" s="70" customFormat="1" x14ac:dyDescent="0.2">
      <c r="A24" s="454"/>
      <c r="B24" s="464"/>
      <c r="C24" s="450"/>
      <c r="D24" s="450"/>
      <c r="E24" s="141" t="s">
        <v>232</v>
      </c>
      <c r="F24" s="31">
        <f>207+14.9</f>
        <v>221.9</v>
      </c>
      <c r="G24" s="31">
        <f>249+36.45</f>
        <v>285.45</v>
      </c>
      <c r="H24" s="94">
        <f>ROUND(G24*Lapas1!$A$1,1)</f>
        <v>311.10000000000002</v>
      </c>
      <c r="I24" s="94">
        <f>ROUND(H24*Lapas1!$A$2,1)</f>
        <v>351.5</v>
      </c>
      <c r="J24" s="26"/>
      <c r="K24" s="26"/>
      <c r="L24" s="43"/>
      <c r="M24" s="43"/>
      <c r="N24" s="24"/>
      <c r="O24" s="24"/>
      <c r="P24" s="220"/>
      <c r="Q24" s="220"/>
      <c r="R24" s="216"/>
    </row>
    <row r="25" spans="1:18" s="70" customFormat="1" x14ac:dyDescent="0.2">
      <c r="A25" s="454"/>
      <c r="B25" s="464"/>
      <c r="C25" s="450"/>
      <c r="D25" s="450"/>
      <c r="E25" s="29" t="s">
        <v>22</v>
      </c>
      <c r="F25" s="17">
        <f>SUM(F24)</f>
        <v>221.9</v>
      </c>
      <c r="G25" s="28">
        <f>SUM(G24)</f>
        <v>285.45</v>
      </c>
      <c r="H25" s="17">
        <f>SUM(H24)</f>
        <v>311.10000000000002</v>
      </c>
      <c r="I25" s="17">
        <f>SUM(I24)</f>
        <v>351.5</v>
      </c>
      <c r="J25" s="26"/>
      <c r="K25" s="26"/>
      <c r="L25" s="43"/>
      <c r="M25" s="43"/>
      <c r="N25" s="24"/>
      <c r="O25" s="24"/>
      <c r="P25" s="220"/>
      <c r="Q25" s="220"/>
      <c r="R25" s="42">
        <f>(G25-F25)/F25</f>
        <v>0.28639026588553396</v>
      </c>
    </row>
    <row r="26" spans="1:18" s="70" customFormat="1" x14ac:dyDescent="0.2">
      <c r="A26" s="142" t="s">
        <v>0</v>
      </c>
      <c r="B26" s="147" t="s">
        <v>0</v>
      </c>
      <c r="C26" s="144"/>
      <c r="D26" s="144" t="s">
        <v>31</v>
      </c>
      <c r="E26" s="41" t="s">
        <v>238</v>
      </c>
      <c r="F26" s="39">
        <f>F25</f>
        <v>221.9</v>
      </c>
      <c r="G26" s="40">
        <f t="shared" ref="G26:I26" si="0">G25</f>
        <v>285.45</v>
      </c>
      <c r="H26" s="39">
        <f t="shared" si="0"/>
        <v>311.10000000000002</v>
      </c>
      <c r="I26" s="39">
        <f t="shared" si="0"/>
        <v>351.5</v>
      </c>
      <c r="J26" s="154"/>
      <c r="K26" s="85"/>
      <c r="L26" s="85"/>
      <c r="M26" s="85"/>
      <c r="N26" s="84"/>
      <c r="O26" s="84"/>
      <c r="P26" s="84"/>
      <c r="Q26" s="84"/>
      <c r="R26" s="216"/>
    </row>
    <row r="27" spans="1:18" s="70" customFormat="1" ht="26.25" customHeight="1" x14ac:dyDescent="0.2">
      <c r="A27" s="142" t="s">
        <v>0</v>
      </c>
      <c r="B27" s="149" t="s">
        <v>10</v>
      </c>
      <c r="C27" s="146"/>
      <c r="D27" s="146" t="s">
        <v>31</v>
      </c>
      <c r="E27" s="469" t="s">
        <v>491</v>
      </c>
      <c r="F27" s="469"/>
      <c r="G27" s="469"/>
      <c r="H27" s="469"/>
      <c r="I27" s="469"/>
      <c r="J27" s="147" t="s">
        <v>490</v>
      </c>
      <c r="K27" s="34" t="s">
        <v>489</v>
      </c>
      <c r="L27" s="34" t="s">
        <v>488</v>
      </c>
      <c r="M27" s="34" t="s">
        <v>11</v>
      </c>
      <c r="N27" s="148">
        <v>100</v>
      </c>
      <c r="O27" s="148">
        <v>100</v>
      </c>
      <c r="P27" s="148">
        <v>100</v>
      </c>
      <c r="Q27" s="148" t="s">
        <v>1026</v>
      </c>
      <c r="R27" s="216"/>
    </row>
    <row r="28" spans="1:18" s="70" customFormat="1" ht="13.5" x14ac:dyDescent="0.2">
      <c r="A28" s="454" t="s">
        <v>0</v>
      </c>
      <c r="B28" s="455" t="s">
        <v>10</v>
      </c>
      <c r="C28" s="450" t="s">
        <v>0</v>
      </c>
      <c r="D28" s="450" t="s">
        <v>21</v>
      </c>
      <c r="E28" s="451" t="s">
        <v>487</v>
      </c>
      <c r="F28" s="451"/>
      <c r="G28" s="451"/>
      <c r="H28" s="451"/>
      <c r="I28" s="451"/>
      <c r="J28" s="143" t="s">
        <v>19</v>
      </c>
      <c r="K28" s="240" t="s">
        <v>486</v>
      </c>
      <c r="L28" s="241" t="s">
        <v>485</v>
      </c>
      <c r="M28" s="240" t="s">
        <v>484</v>
      </c>
      <c r="N28" s="242">
        <v>7000</v>
      </c>
      <c r="O28" s="242">
        <v>7000</v>
      </c>
      <c r="P28" s="242">
        <v>7000</v>
      </c>
      <c r="Q28" s="145" t="s">
        <v>19</v>
      </c>
      <c r="R28" s="216"/>
    </row>
    <row r="29" spans="1:18" s="70" customFormat="1" x14ac:dyDescent="0.2">
      <c r="A29" s="454"/>
      <c r="B29" s="455"/>
      <c r="C29" s="450"/>
      <c r="D29" s="450"/>
      <c r="E29" s="32" t="s">
        <v>14</v>
      </c>
      <c r="F29" s="31">
        <v>1400</v>
      </c>
      <c r="G29" s="31">
        <v>1920</v>
      </c>
      <c r="H29" s="94">
        <f>ROUND(G29*Lapas1!$A$1,1)</f>
        <v>2092.8000000000002</v>
      </c>
      <c r="I29" s="94">
        <f>ROUND(H29*Lapas1!$A$2,1)</f>
        <v>2364.9</v>
      </c>
      <c r="J29" s="26"/>
      <c r="K29" s="26"/>
      <c r="L29" s="43"/>
      <c r="M29" s="43"/>
      <c r="N29" s="24"/>
      <c r="O29" s="24"/>
      <c r="P29" s="220"/>
      <c r="Q29" s="220"/>
      <c r="R29" s="216"/>
    </row>
    <row r="30" spans="1:18" s="70" customFormat="1" x14ac:dyDescent="0.2">
      <c r="A30" s="454"/>
      <c r="B30" s="455"/>
      <c r="C30" s="450"/>
      <c r="D30" s="450"/>
      <c r="E30" s="29" t="s">
        <v>22</v>
      </c>
      <c r="F30" s="17">
        <f>SUM(F29:F29)</f>
        <v>1400</v>
      </c>
      <c r="G30" s="28">
        <f>SUM(G29:G29)</f>
        <v>1920</v>
      </c>
      <c r="H30" s="17">
        <f>SUM(H29:H29)</f>
        <v>2092.8000000000002</v>
      </c>
      <c r="I30" s="17">
        <f>SUM(I29:I29)</f>
        <v>2364.9</v>
      </c>
      <c r="J30" s="26"/>
      <c r="K30" s="26"/>
      <c r="L30" s="43"/>
      <c r="M30" s="43"/>
      <c r="N30" s="24"/>
      <c r="O30" s="24"/>
      <c r="P30" s="220"/>
      <c r="Q30" s="220"/>
      <c r="R30" s="42">
        <f>(G30-F30)/F30</f>
        <v>0.37142857142857144</v>
      </c>
    </row>
    <row r="31" spans="1:18" s="70" customFormat="1" x14ac:dyDescent="0.2">
      <c r="A31" s="142" t="s">
        <v>0</v>
      </c>
      <c r="B31" s="149" t="s">
        <v>10</v>
      </c>
      <c r="C31" s="144"/>
      <c r="D31" s="144" t="s">
        <v>31</v>
      </c>
      <c r="E31" s="41" t="s">
        <v>238</v>
      </c>
      <c r="F31" s="39">
        <f>F30</f>
        <v>1400</v>
      </c>
      <c r="G31" s="40">
        <f>G30</f>
        <v>1920</v>
      </c>
      <c r="H31" s="39">
        <f>H30</f>
        <v>2092.8000000000002</v>
      </c>
      <c r="I31" s="39">
        <f>I30</f>
        <v>2364.9</v>
      </c>
      <c r="J31" s="154"/>
      <c r="K31" s="84"/>
      <c r="L31" s="84"/>
      <c r="M31" s="84"/>
      <c r="N31" s="84"/>
      <c r="O31" s="84"/>
      <c r="P31" s="84"/>
      <c r="Q31" s="84"/>
      <c r="R31" s="216"/>
    </row>
    <row r="32" spans="1:18" s="70" customFormat="1" x14ac:dyDescent="0.2">
      <c r="A32" s="222" t="s">
        <v>0</v>
      </c>
      <c r="B32" s="38"/>
      <c r="C32" s="38"/>
      <c r="D32" s="38"/>
      <c r="E32" s="37" t="s">
        <v>239</v>
      </c>
      <c r="F32" s="35">
        <f>F26+F31</f>
        <v>1621.9</v>
      </c>
      <c r="G32" s="36">
        <f>G26+G31</f>
        <v>2205.4499999999998</v>
      </c>
      <c r="H32" s="35">
        <f>H26+H31</f>
        <v>2403.9</v>
      </c>
      <c r="I32" s="35">
        <f>I26+I31</f>
        <v>2716.4</v>
      </c>
      <c r="J32" s="60"/>
      <c r="K32" s="223"/>
      <c r="L32" s="223"/>
      <c r="M32" s="223"/>
      <c r="N32" s="223"/>
      <c r="O32" s="223"/>
      <c r="P32" s="223"/>
      <c r="Q32" s="223"/>
      <c r="R32" s="216"/>
    </row>
    <row r="33" spans="1:18" s="70" customFormat="1" x14ac:dyDescent="0.2">
      <c r="A33" s="47"/>
      <c r="B33" s="47"/>
      <c r="C33" s="47"/>
      <c r="D33" s="47"/>
      <c r="E33" s="22" t="s">
        <v>240</v>
      </c>
      <c r="F33" s="20">
        <f>F32</f>
        <v>1621.9</v>
      </c>
      <c r="G33" s="21">
        <f>G32</f>
        <v>2205.4499999999998</v>
      </c>
      <c r="H33" s="20">
        <f>H32</f>
        <v>2403.9</v>
      </c>
      <c r="I33" s="20">
        <f>I32</f>
        <v>2716.4</v>
      </c>
      <c r="J33" s="73"/>
      <c r="K33" s="224"/>
      <c r="L33" s="224"/>
      <c r="M33" s="224"/>
      <c r="N33" s="224"/>
      <c r="O33" s="224"/>
      <c r="P33" s="224"/>
      <c r="Q33" s="224"/>
      <c r="R33" s="216"/>
    </row>
    <row r="34" spans="1:18" ht="39" customHeight="1" x14ac:dyDescent="0.2">
      <c r="A34" s="462" t="s">
        <v>790</v>
      </c>
      <c r="B34" s="462"/>
      <c r="C34" s="462"/>
      <c r="D34" s="462"/>
      <c r="E34" s="462"/>
      <c r="F34" s="462"/>
      <c r="G34" s="462"/>
      <c r="H34" s="462"/>
      <c r="I34" s="462"/>
      <c r="J34" s="462"/>
      <c r="K34" s="462"/>
    </row>
    <row r="35" spans="1:18" ht="27.75" customHeight="1" x14ac:dyDescent="0.2">
      <c r="A35" s="416" t="s">
        <v>795</v>
      </c>
      <c r="B35" s="416"/>
      <c r="C35" s="416"/>
      <c r="D35" s="416"/>
      <c r="E35" s="416"/>
      <c r="F35" s="416"/>
      <c r="G35" s="416"/>
      <c r="H35" s="416"/>
      <c r="I35" s="416"/>
      <c r="J35" s="416"/>
      <c r="K35" s="416"/>
    </row>
    <row r="36" spans="1:18" x14ac:dyDescent="0.2">
      <c r="A36" s="19"/>
    </row>
    <row r="37" spans="1:18" x14ac:dyDescent="0.2">
      <c r="A37" s="463" t="s">
        <v>4</v>
      </c>
      <c r="B37" s="463"/>
      <c r="C37" s="463"/>
      <c r="D37" s="463"/>
      <c r="E37" s="463"/>
      <c r="F37" s="463"/>
      <c r="G37" s="463"/>
      <c r="H37" s="463"/>
      <c r="I37" s="463"/>
    </row>
    <row r="38" spans="1:18" ht="26.25" customHeight="1" x14ac:dyDescent="0.2">
      <c r="A38" s="402" t="s">
        <v>13</v>
      </c>
      <c r="B38" s="402"/>
      <c r="C38" s="402"/>
      <c r="D38" s="402"/>
      <c r="E38" s="71" t="s">
        <v>14</v>
      </c>
      <c r="F38" s="17">
        <f>F29</f>
        <v>1400</v>
      </c>
      <c r="G38" s="28">
        <f>G29</f>
        <v>1920</v>
      </c>
      <c r="H38" s="17">
        <f>H29</f>
        <v>2092.8000000000002</v>
      </c>
      <c r="I38" s="17">
        <f>I29</f>
        <v>2364.9</v>
      </c>
    </row>
    <row r="39" spans="1:18" ht="26.25" customHeight="1" x14ac:dyDescent="0.2">
      <c r="A39" s="402" t="s">
        <v>20</v>
      </c>
      <c r="B39" s="402"/>
      <c r="C39" s="402"/>
      <c r="D39" s="402"/>
      <c r="E39" s="71" t="s">
        <v>15</v>
      </c>
      <c r="F39" s="17"/>
      <c r="G39" s="17"/>
      <c r="H39" s="17"/>
      <c r="I39" s="17"/>
    </row>
    <row r="40" spans="1:18" ht="26.25" customHeight="1" x14ac:dyDescent="0.2">
      <c r="A40" s="402" t="s">
        <v>16</v>
      </c>
      <c r="B40" s="402"/>
      <c r="C40" s="402"/>
      <c r="D40" s="402"/>
      <c r="E40" s="71" t="s">
        <v>17</v>
      </c>
      <c r="F40" s="17"/>
      <c r="G40" s="334"/>
      <c r="H40" s="57"/>
      <c r="I40" s="57"/>
    </row>
    <row r="41" spans="1:18" ht="51" customHeight="1" x14ac:dyDescent="0.2">
      <c r="A41" s="402" t="s">
        <v>231</v>
      </c>
      <c r="B41" s="402"/>
      <c r="C41" s="402"/>
      <c r="D41" s="402"/>
      <c r="E41" s="71" t="s">
        <v>232</v>
      </c>
      <c r="F41" s="17">
        <f>F24</f>
        <v>221.9</v>
      </c>
      <c r="G41" s="28">
        <f t="shared" ref="G41:I41" si="1">G24</f>
        <v>285.45</v>
      </c>
      <c r="H41" s="17">
        <f t="shared" si="1"/>
        <v>311.10000000000002</v>
      </c>
      <c r="I41" s="17">
        <f t="shared" si="1"/>
        <v>351.5</v>
      </c>
    </row>
    <row r="42" spans="1:18" ht="26.25" customHeight="1" x14ac:dyDescent="0.2">
      <c r="A42" s="402" t="s">
        <v>230</v>
      </c>
      <c r="B42" s="402"/>
      <c r="C42" s="402"/>
      <c r="D42" s="402"/>
      <c r="E42" s="71" t="s">
        <v>18</v>
      </c>
      <c r="F42" s="63"/>
      <c r="G42" s="334"/>
      <c r="H42" s="57"/>
      <c r="I42" s="57"/>
    </row>
    <row r="43" spans="1:18" ht="26.25" customHeight="1" x14ac:dyDescent="0.2">
      <c r="A43" s="402" t="s">
        <v>169</v>
      </c>
      <c r="B43" s="402"/>
      <c r="C43" s="402"/>
      <c r="D43" s="402"/>
      <c r="E43" s="71" t="s">
        <v>162</v>
      </c>
      <c r="F43" s="63"/>
      <c r="G43" s="334"/>
      <c r="H43" s="57"/>
      <c r="I43" s="57"/>
    </row>
    <row r="44" spans="1:18" x14ac:dyDescent="0.2">
      <c r="A44" s="446" t="s">
        <v>3</v>
      </c>
      <c r="B44" s="446"/>
      <c r="C44" s="446"/>
      <c r="D44" s="446"/>
      <c r="E44" s="446"/>
      <c r="F44" s="51">
        <f>SUM(F38:F43)</f>
        <v>1621.9</v>
      </c>
      <c r="G44" s="52">
        <f>SUM(G38:G43)</f>
        <v>2205.4499999999998</v>
      </c>
      <c r="H44" s="51">
        <f>SUM(H38:H43)</f>
        <v>2403.9</v>
      </c>
      <c r="I44" s="51">
        <f>SUM(I38:I43)</f>
        <v>2716.4</v>
      </c>
    </row>
    <row r="45" spans="1:18" ht="25.5" customHeight="1" x14ac:dyDescent="0.2">
      <c r="A45" s="444" t="s">
        <v>7</v>
      </c>
      <c r="B45" s="444"/>
      <c r="C45" s="444"/>
      <c r="D45" s="444"/>
      <c r="E45" s="444"/>
      <c r="F45" s="16"/>
      <c r="G45" s="56"/>
      <c r="H45" s="16"/>
      <c r="I45" s="16"/>
    </row>
    <row r="46" spans="1:18" x14ac:dyDescent="0.2">
      <c r="A46" s="444" t="s">
        <v>5</v>
      </c>
      <c r="B46" s="444"/>
      <c r="C46" s="444"/>
      <c r="D46" s="444"/>
      <c r="E46" s="444"/>
      <c r="F46" s="16"/>
      <c r="G46" s="56"/>
      <c r="H46" s="16"/>
      <c r="I46" s="16"/>
    </row>
    <row r="47" spans="1:18" x14ac:dyDescent="0.2">
      <c r="A47" s="444" t="s">
        <v>6</v>
      </c>
      <c r="B47" s="444"/>
      <c r="C47" s="444"/>
      <c r="D47" s="444"/>
      <c r="E47" s="444"/>
      <c r="F47" s="16">
        <f>F25+F30</f>
        <v>1621.9</v>
      </c>
      <c r="G47" s="56">
        <f>G25+G30</f>
        <v>2205.4499999999998</v>
      </c>
      <c r="H47" s="16">
        <f>H25+H30</f>
        <v>2403.9</v>
      </c>
      <c r="I47" s="16">
        <f>I25+I30</f>
        <v>2716.4</v>
      </c>
    </row>
    <row r="48" spans="1:18" x14ac:dyDescent="0.2">
      <c r="F48" s="14"/>
      <c r="G48" s="15"/>
      <c r="H48" s="11"/>
      <c r="I48" s="11"/>
    </row>
    <row r="49" spans="5:9" hidden="1" x14ac:dyDescent="0.2">
      <c r="E49" s="9" t="s">
        <v>23</v>
      </c>
      <c r="F49" s="12">
        <f>F44-F33</f>
        <v>0</v>
      </c>
      <c r="G49" s="13">
        <f>G44-G33</f>
        <v>0</v>
      </c>
      <c r="H49" s="12">
        <f>H44-H33</f>
        <v>0</v>
      </c>
      <c r="I49" s="12">
        <f>I44-I33</f>
        <v>0</v>
      </c>
    </row>
    <row r="50" spans="5:9" hidden="1" x14ac:dyDescent="0.2">
      <c r="F50" s="54">
        <f>F46+F47-F33</f>
        <v>0</v>
      </c>
      <c r="G50" s="55">
        <f>G46+G47-G33</f>
        <v>0</v>
      </c>
      <c r="H50" s="54">
        <f>H46+H47-H33</f>
        <v>0</v>
      </c>
      <c r="I50" s="54">
        <f>I46+I47-I33</f>
        <v>0</v>
      </c>
    </row>
  </sheetData>
  <mergeCells count="41">
    <mergeCell ref="C16:C25"/>
    <mergeCell ref="D16:D25"/>
    <mergeCell ref="A10:P10"/>
    <mergeCell ref="E11:E12"/>
    <mergeCell ref="F11:F12"/>
    <mergeCell ref="H11:H12"/>
    <mergeCell ref="G11:G12"/>
    <mergeCell ref="I11:I12"/>
    <mergeCell ref="J11:J12"/>
    <mergeCell ref="A11:C11"/>
    <mergeCell ref="D11:D12"/>
    <mergeCell ref="A16:A25"/>
    <mergeCell ref="B16:B25"/>
    <mergeCell ref="R11:R12"/>
    <mergeCell ref="J16:J23"/>
    <mergeCell ref="Q11:Q12"/>
    <mergeCell ref="E14:Q14"/>
    <mergeCell ref="E15:I15"/>
    <mergeCell ref="E16:I23"/>
    <mergeCell ref="K11:K12"/>
    <mergeCell ref="L11:M11"/>
    <mergeCell ref="N11:P11"/>
    <mergeCell ref="A44:E44"/>
    <mergeCell ref="A45:E45"/>
    <mergeCell ref="A46:E46"/>
    <mergeCell ref="A47:E47"/>
    <mergeCell ref="B28:B30"/>
    <mergeCell ref="A40:D40"/>
    <mergeCell ref="A41:D41"/>
    <mergeCell ref="A42:D42"/>
    <mergeCell ref="A43:D43"/>
    <mergeCell ref="A37:I37"/>
    <mergeCell ref="A28:A30"/>
    <mergeCell ref="C28:C30"/>
    <mergeCell ref="D28:D30"/>
    <mergeCell ref="A35:K35"/>
    <mergeCell ref="E27:I27"/>
    <mergeCell ref="E28:I28"/>
    <mergeCell ref="A38:D38"/>
    <mergeCell ref="A39:D39"/>
    <mergeCell ref="A34:K34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6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24"/>
  <sheetViews>
    <sheetView zoomScale="70" zoomScaleNormal="70" workbookViewId="0">
      <pane ySplit="13" topLeftCell="A14" activePane="bottomLeft" state="frozen"/>
      <selection pane="bottomLeft" activeCell="B14" sqref="B14"/>
    </sheetView>
  </sheetViews>
  <sheetFormatPr defaultColWidth="9.140625" defaultRowHeight="12.75" x14ac:dyDescent="0.2"/>
  <cols>
    <col min="1" max="2" width="5.140625" style="11" customWidth="1"/>
    <col min="3" max="4" width="5.140625" style="9" customWidth="1"/>
    <col min="5" max="5" width="17.7109375" style="9" customWidth="1"/>
    <col min="6" max="6" width="13" style="9" customWidth="1"/>
    <col min="7" max="7" width="13" style="10" customWidth="1"/>
    <col min="8" max="9" width="13" style="9" customWidth="1"/>
    <col min="10" max="11" width="24.7109375" style="9" customWidth="1"/>
    <col min="12" max="12" width="49.7109375" style="9" customWidth="1"/>
    <col min="13" max="16" width="6.28515625" style="9" customWidth="1"/>
    <col min="17" max="17" width="32.7109375" style="9" customWidth="1"/>
    <col min="18" max="18" width="11.7109375" style="53" hidden="1" customWidth="1"/>
    <col min="19" max="16384" width="9.140625" style="9"/>
  </cols>
  <sheetData>
    <row r="1" spans="1:18" x14ac:dyDescent="0.2">
      <c r="L1" s="81"/>
      <c r="Q1" s="9" t="str">
        <f>'001'!Q1</f>
        <v>PATVIRTINTA</v>
      </c>
    </row>
    <row r="2" spans="1:18" x14ac:dyDescent="0.2">
      <c r="L2" s="81"/>
      <c r="Q2" s="9" t="str">
        <f>'001'!Q2</f>
        <v>Plungės rajono savivaldybės tarybos</v>
      </c>
    </row>
    <row r="3" spans="1:18" x14ac:dyDescent="0.2">
      <c r="J3" s="50"/>
      <c r="L3" s="80"/>
      <c r="Q3" s="9" t="str">
        <f>'001'!Q3</f>
        <v>2026 m. vasario 12 d. sprendimu Nr. T1-</v>
      </c>
    </row>
    <row r="4" spans="1:18" hidden="1" x14ac:dyDescent="0.2">
      <c r="J4" s="50"/>
      <c r="L4" s="80"/>
      <c r="Q4" s="9" t="str">
        <f>'001'!Q4</f>
        <v xml:space="preserve">(2026 m. mėn. d. sprendimo Nr. </v>
      </c>
    </row>
    <row r="5" spans="1:18" hidden="1" x14ac:dyDescent="0.2">
      <c r="J5" s="50"/>
      <c r="L5" s="80"/>
      <c r="Q5" s="9" t="str">
        <f>'001'!Q5</f>
        <v>T1- redakcija)</v>
      </c>
    </row>
    <row r="6" spans="1:18" x14ac:dyDescent="0.2">
      <c r="L6" s="81"/>
      <c r="Q6" s="9" t="str">
        <f>'001'!Q6</f>
        <v xml:space="preserve">Plungės rajono savivaldybės </v>
      </c>
    </row>
    <row r="7" spans="1:18" x14ac:dyDescent="0.2">
      <c r="J7" s="50"/>
      <c r="L7" s="80"/>
      <c r="Q7" s="9" t="str">
        <f>'001'!Q7</f>
        <v>2026–2028 metų  strateginio veiklos plano</v>
      </c>
    </row>
    <row r="8" spans="1:18" x14ac:dyDescent="0.2">
      <c r="H8" s="79"/>
      <c r="J8" s="50"/>
      <c r="L8" s="80"/>
      <c r="Q8" s="9" t="s">
        <v>602</v>
      </c>
    </row>
    <row r="9" spans="1:18" x14ac:dyDescent="0.2">
      <c r="H9" s="79"/>
      <c r="I9" s="79"/>
    </row>
    <row r="10" spans="1:18" x14ac:dyDescent="0.2">
      <c r="A10" s="460" t="s">
        <v>924</v>
      </c>
      <c r="B10" s="460"/>
      <c r="C10" s="460"/>
      <c r="D10" s="460"/>
      <c r="E10" s="460"/>
      <c r="F10" s="460"/>
      <c r="G10" s="460"/>
      <c r="H10" s="460"/>
      <c r="I10" s="460"/>
      <c r="J10" s="460"/>
      <c r="K10" s="460"/>
      <c r="L10" s="460"/>
      <c r="M10" s="460"/>
      <c r="N10" s="460"/>
      <c r="O10" s="460"/>
      <c r="P10" s="460"/>
      <c r="Q10" s="76" t="s">
        <v>244</v>
      </c>
      <c r="R10" s="64"/>
    </row>
    <row r="11" spans="1:18" ht="25.5" customHeight="1" x14ac:dyDescent="0.2">
      <c r="A11" s="418" t="str">
        <f>'001'!A11:R13</f>
        <v>Kodas</v>
      </c>
      <c r="B11" s="418"/>
      <c r="C11" s="418"/>
      <c r="D11" s="443" t="str">
        <f>'001'!D11:D12</f>
        <v>Uždavinio/ priemonės požymis *</v>
      </c>
      <c r="E11" s="418" t="str">
        <f>'001'!E11:E12</f>
        <v>Programos tikslo/uždavinio/priemonės pavadinimas ir finansavimo šaltiniai</v>
      </c>
      <c r="F11" s="418" t="str">
        <f>'001'!F11:F12</f>
        <v>2025-ųjų m. asignavimai ir kitos lėšos (2025-02-13 datai)</v>
      </c>
      <c r="G11" s="442" t="str">
        <f>'001'!G11:G12</f>
        <v>2026-ųjų m. asignavimai ir kitos lėšos</v>
      </c>
      <c r="H11" s="418" t="str">
        <f>'001'!H11:H12</f>
        <v>Planuojami 2027-ųjų m. asignavimai ir kitos lėšos</v>
      </c>
      <c r="I11" s="418" t="str">
        <f>'001'!I11:I12</f>
        <v>Planuojami 2028-ųjų m. asignavimai ir kitos lėšos</v>
      </c>
      <c r="J11" s="418" t="str">
        <f>'001'!J11:J12</f>
        <v>Savivaldybės strateginio plėtros plano tikslo/uždavinio kodas**</v>
      </c>
      <c r="K11" s="418" t="str">
        <f>'001'!K11:K12</f>
        <v>Stebėsenos rodiklio kodas</v>
      </c>
      <c r="L11" s="417" t="str">
        <f>'001'!L11:M11</f>
        <v>Stebėsenos rodiklio</v>
      </c>
      <c r="M11" s="417"/>
      <c r="N11" s="417" t="str">
        <f>'001'!N11:P11</f>
        <v>Siektinos stebėsenos rodiklių reikšmės</v>
      </c>
      <c r="O11" s="417"/>
      <c r="P11" s="417"/>
      <c r="Q11" s="417" t="str">
        <f>'001'!Q11:Q12</f>
        <v>Savivaldybės strateginio plėtros plano rodiklio kodas**</v>
      </c>
      <c r="R11" s="441" t="str">
        <f>'001'!R11:R12</f>
        <v>Asignavimų skirtumas (2024 m.- 2025 m.)</v>
      </c>
    </row>
    <row r="12" spans="1:18" ht="81.75" customHeight="1" x14ac:dyDescent="0.2">
      <c r="A12" s="68" t="str">
        <f>'001'!A12</f>
        <v>tikslo</v>
      </c>
      <c r="B12" s="68" t="str">
        <f>'001'!B12</f>
        <v>uždavinio</v>
      </c>
      <c r="C12" s="68" t="str">
        <f>'001'!C12</f>
        <v>priemonės</v>
      </c>
      <c r="D12" s="443"/>
      <c r="E12" s="418"/>
      <c r="F12" s="418"/>
      <c r="G12" s="442"/>
      <c r="H12" s="418"/>
      <c r="I12" s="418"/>
      <c r="J12" s="418"/>
      <c r="K12" s="418"/>
      <c r="L12" s="72" t="str">
        <f>'001'!L12</f>
        <v>pavadinimas</v>
      </c>
      <c r="M12" s="72" t="str">
        <f>'001'!M12</f>
        <v>mato vnt.</v>
      </c>
      <c r="N12" s="72">
        <f>'001'!N12</f>
        <v>2026</v>
      </c>
      <c r="O12" s="72">
        <f>'001'!O12</f>
        <v>2027</v>
      </c>
      <c r="P12" s="72">
        <f>'001'!P12</f>
        <v>2028</v>
      </c>
      <c r="Q12" s="417"/>
      <c r="R12" s="441"/>
    </row>
    <row r="13" spans="1:18" x14ac:dyDescent="0.2">
      <c r="A13" s="47">
        <f>'001'!A13</f>
        <v>1</v>
      </c>
      <c r="B13" s="47">
        <f>'001'!B13</f>
        <v>2</v>
      </c>
      <c r="C13" s="47">
        <f>'001'!C13</f>
        <v>3</v>
      </c>
      <c r="D13" s="47">
        <f>'001'!D13</f>
        <v>4</v>
      </c>
      <c r="E13" s="47">
        <f>'001'!E13</f>
        <v>5</v>
      </c>
      <c r="F13" s="47">
        <f>'001'!F13</f>
        <v>6</v>
      </c>
      <c r="G13" s="48">
        <f>'001'!G13</f>
        <v>7</v>
      </c>
      <c r="H13" s="47">
        <f>'001'!H13</f>
        <v>8</v>
      </c>
      <c r="I13" s="47">
        <f>'001'!I13</f>
        <v>9</v>
      </c>
      <c r="J13" s="47">
        <f>'001'!J13</f>
        <v>10</v>
      </c>
      <c r="K13" s="47">
        <f>'001'!K13</f>
        <v>11</v>
      </c>
      <c r="L13" s="47">
        <f>'001'!L13</f>
        <v>12</v>
      </c>
      <c r="M13" s="47">
        <f>'001'!M13</f>
        <v>13</v>
      </c>
      <c r="N13" s="47">
        <f>'001'!N13</f>
        <v>14</v>
      </c>
      <c r="O13" s="47">
        <f>'001'!O13</f>
        <v>15</v>
      </c>
      <c r="P13" s="47">
        <f>'001'!P13</f>
        <v>16</v>
      </c>
      <c r="Q13" s="47">
        <f>'001'!Q13</f>
        <v>17</v>
      </c>
      <c r="R13" s="47">
        <f>'001'!R13</f>
        <v>18</v>
      </c>
    </row>
    <row r="14" spans="1:18" s="70" customFormat="1" x14ac:dyDescent="0.2">
      <c r="A14" s="152" t="s">
        <v>0</v>
      </c>
      <c r="B14" s="75"/>
      <c r="C14" s="75"/>
      <c r="D14" s="75"/>
      <c r="E14" s="472" t="s">
        <v>601</v>
      </c>
      <c r="F14" s="472"/>
      <c r="G14" s="472"/>
      <c r="H14" s="472"/>
      <c r="I14" s="472"/>
      <c r="J14" s="472"/>
      <c r="K14" s="472"/>
      <c r="L14" s="472"/>
      <c r="M14" s="472"/>
      <c r="N14" s="472"/>
      <c r="O14" s="472"/>
      <c r="P14" s="472"/>
      <c r="Q14" s="472"/>
      <c r="R14" s="216"/>
    </row>
    <row r="15" spans="1:18" s="70" customFormat="1" ht="25.5" x14ac:dyDescent="0.2">
      <c r="A15" s="548" t="s">
        <v>0</v>
      </c>
      <c r="B15" s="554" t="s">
        <v>0</v>
      </c>
      <c r="C15" s="556"/>
      <c r="D15" s="556" t="s">
        <v>31</v>
      </c>
      <c r="E15" s="469" t="s">
        <v>600</v>
      </c>
      <c r="F15" s="469"/>
      <c r="G15" s="469"/>
      <c r="H15" s="469"/>
      <c r="I15" s="469"/>
      <c r="J15" s="468" t="s">
        <v>599</v>
      </c>
      <c r="K15" s="34" t="s">
        <v>598</v>
      </c>
      <c r="L15" s="34" t="s">
        <v>910</v>
      </c>
      <c r="M15" s="34" t="s">
        <v>11</v>
      </c>
      <c r="N15" s="130">
        <v>0.3</v>
      </c>
      <c r="O15" s="130">
        <v>0.3</v>
      </c>
      <c r="P15" s="130">
        <v>0.3</v>
      </c>
      <c r="Q15" s="473" t="s">
        <v>603</v>
      </c>
      <c r="R15" s="216"/>
    </row>
    <row r="16" spans="1:18" s="70" customFormat="1" ht="25.5" x14ac:dyDescent="0.2">
      <c r="A16" s="548"/>
      <c r="B16" s="554"/>
      <c r="C16" s="556"/>
      <c r="D16" s="556"/>
      <c r="E16" s="469"/>
      <c r="F16" s="469"/>
      <c r="G16" s="469"/>
      <c r="H16" s="469"/>
      <c r="I16" s="469"/>
      <c r="J16" s="468"/>
      <c r="K16" s="34" t="s">
        <v>597</v>
      </c>
      <c r="L16" s="34" t="s">
        <v>596</v>
      </c>
      <c r="M16" s="34" t="s">
        <v>11</v>
      </c>
      <c r="N16" s="130">
        <v>1.5</v>
      </c>
      <c r="O16" s="130">
        <v>1.5</v>
      </c>
      <c r="P16" s="130">
        <v>1.5</v>
      </c>
      <c r="Q16" s="473"/>
      <c r="R16" s="216"/>
    </row>
    <row r="17" spans="1:23" s="70" customFormat="1" ht="25.5" x14ac:dyDescent="0.2">
      <c r="A17" s="548" t="s">
        <v>0</v>
      </c>
      <c r="B17" s="549" t="s">
        <v>0</v>
      </c>
      <c r="C17" s="553" t="s">
        <v>0</v>
      </c>
      <c r="D17" s="553" t="s">
        <v>21</v>
      </c>
      <c r="E17" s="490" t="s">
        <v>821</v>
      </c>
      <c r="F17" s="490"/>
      <c r="G17" s="490"/>
      <c r="H17" s="490"/>
      <c r="I17" s="490"/>
      <c r="J17" s="456" t="s">
        <v>19</v>
      </c>
      <c r="K17" s="33" t="s">
        <v>595</v>
      </c>
      <c r="L17" s="61" t="s">
        <v>594</v>
      </c>
      <c r="M17" s="33" t="s">
        <v>35</v>
      </c>
      <c r="N17" s="203">
        <v>1</v>
      </c>
      <c r="O17" s="203">
        <v>1</v>
      </c>
      <c r="P17" s="203">
        <v>1</v>
      </c>
      <c r="Q17" s="145" t="s">
        <v>19</v>
      </c>
      <c r="R17" s="216"/>
    </row>
    <row r="18" spans="1:23" s="70" customFormat="1" ht="25.5" x14ac:dyDescent="0.2">
      <c r="A18" s="548"/>
      <c r="B18" s="549"/>
      <c r="C18" s="553"/>
      <c r="D18" s="553"/>
      <c r="E18" s="490"/>
      <c r="F18" s="490"/>
      <c r="G18" s="490"/>
      <c r="H18" s="490"/>
      <c r="I18" s="490"/>
      <c r="J18" s="456"/>
      <c r="K18" s="33" t="s">
        <v>593</v>
      </c>
      <c r="L18" s="61" t="s">
        <v>576</v>
      </c>
      <c r="M18" s="33" t="s">
        <v>12</v>
      </c>
      <c r="N18" s="203">
        <v>42</v>
      </c>
      <c r="O18" s="203">
        <v>42</v>
      </c>
      <c r="P18" s="203">
        <v>42</v>
      </c>
      <c r="Q18" s="145" t="s">
        <v>19</v>
      </c>
      <c r="R18" s="216"/>
    </row>
    <row r="19" spans="1:23" s="70" customFormat="1" ht="25.5" x14ac:dyDescent="0.2">
      <c r="A19" s="548"/>
      <c r="B19" s="549"/>
      <c r="C19" s="553"/>
      <c r="D19" s="553"/>
      <c r="E19" s="490"/>
      <c r="F19" s="490"/>
      <c r="G19" s="490"/>
      <c r="H19" s="490"/>
      <c r="I19" s="490"/>
      <c r="J19" s="456"/>
      <c r="K19" s="33" t="s">
        <v>592</v>
      </c>
      <c r="L19" s="61" t="s">
        <v>540</v>
      </c>
      <c r="M19" s="33" t="s">
        <v>12</v>
      </c>
      <c r="N19" s="203">
        <v>3</v>
      </c>
      <c r="O19" s="203">
        <v>4</v>
      </c>
      <c r="P19" s="203">
        <v>4</v>
      </c>
      <c r="Q19" s="145" t="s">
        <v>19</v>
      </c>
      <c r="R19" s="216"/>
    </row>
    <row r="20" spans="1:23" s="70" customFormat="1" x14ac:dyDescent="0.2">
      <c r="A20" s="548"/>
      <c r="B20" s="549"/>
      <c r="C20" s="553"/>
      <c r="D20" s="553"/>
      <c r="E20" s="490"/>
      <c r="F20" s="490"/>
      <c r="G20" s="490"/>
      <c r="H20" s="490"/>
      <c r="I20" s="490"/>
      <c r="J20" s="456"/>
      <c r="K20" s="33" t="s">
        <v>591</v>
      </c>
      <c r="L20" s="61" t="s">
        <v>573</v>
      </c>
      <c r="M20" s="33" t="s">
        <v>12</v>
      </c>
      <c r="N20" s="203">
        <v>20</v>
      </c>
      <c r="O20" s="203">
        <v>20</v>
      </c>
      <c r="P20" s="203">
        <v>20</v>
      </c>
      <c r="Q20" s="145" t="s">
        <v>19</v>
      </c>
      <c r="R20" s="216"/>
    </row>
    <row r="21" spans="1:23" s="70" customFormat="1" x14ac:dyDescent="0.2">
      <c r="A21" s="548"/>
      <c r="B21" s="549"/>
      <c r="C21" s="553"/>
      <c r="D21" s="553"/>
      <c r="E21" s="32" t="s">
        <v>14</v>
      </c>
      <c r="F21" s="94">
        <v>906</v>
      </c>
      <c r="G21" s="94">
        <f>1000.3+5.9</f>
        <v>1006.1999999999999</v>
      </c>
      <c r="H21" s="94">
        <f>ROUND(G21*Lapas1!$A$1,1)</f>
        <v>1096.8</v>
      </c>
      <c r="I21" s="94">
        <f>ROUND(H21*Lapas1!$A$2,1)</f>
        <v>1239.4000000000001</v>
      </c>
      <c r="J21" s="26"/>
      <c r="K21" s="26"/>
      <c r="L21" s="43"/>
      <c r="M21" s="43"/>
      <c r="N21" s="24"/>
      <c r="O21" s="220"/>
      <c r="P21" s="220"/>
      <c r="Q21" s="220"/>
      <c r="R21" s="216"/>
    </row>
    <row r="22" spans="1:23" s="70" customFormat="1" x14ac:dyDescent="0.2">
      <c r="A22" s="548"/>
      <c r="B22" s="549"/>
      <c r="C22" s="553"/>
      <c r="D22" s="553"/>
      <c r="E22" s="32" t="s">
        <v>17</v>
      </c>
      <c r="F22" s="94">
        <f>105+7</f>
        <v>112</v>
      </c>
      <c r="G22" s="94">
        <f>106+21</f>
        <v>127</v>
      </c>
      <c r="H22" s="94">
        <f>ROUND(G22*Lapas1!$A$1,1)</f>
        <v>138.4</v>
      </c>
      <c r="I22" s="94">
        <f>ROUND(H22*Lapas1!$A$2,1)</f>
        <v>156.4</v>
      </c>
      <c r="J22" s="26"/>
      <c r="K22" s="26"/>
      <c r="L22" s="43"/>
      <c r="M22" s="43"/>
      <c r="N22" s="24"/>
      <c r="O22" s="220"/>
      <c r="P22" s="220"/>
      <c r="Q22" s="220"/>
      <c r="R22" s="216"/>
      <c r="T22" s="226"/>
      <c r="U22" s="226"/>
      <c r="V22" s="226"/>
      <c r="W22" s="226"/>
    </row>
    <row r="23" spans="1:23" s="70" customFormat="1" x14ac:dyDescent="0.2">
      <c r="A23" s="548"/>
      <c r="B23" s="549"/>
      <c r="C23" s="553"/>
      <c r="D23" s="553"/>
      <c r="E23" s="29" t="s">
        <v>22</v>
      </c>
      <c r="F23" s="17">
        <f>SUM(F21:F22)</f>
        <v>1018</v>
      </c>
      <c r="G23" s="28">
        <f>SUM(G21:G22)</f>
        <v>1133.1999999999998</v>
      </c>
      <c r="H23" s="17">
        <f>SUM(H21:H22)</f>
        <v>1235.2</v>
      </c>
      <c r="I23" s="17">
        <f>SUM(I21:I22)</f>
        <v>1395.8000000000002</v>
      </c>
      <c r="J23" s="26"/>
      <c r="K23" s="26"/>
      <c r="L23" s="43"/>
      <c r="M23" s="43"/>
      <c r="N23" s="24"/>
      <c r="O23" s="220"/>
      <c r="P23" s="220"/>
      <c r="Q23" s="220"/>
      <c r="R23" s="42">
        <f>(G23-F23)/F23</f>
        <v>0.11316306483300571</v>
      </c>
    </row>
    <row r="24" spans="1:23" s="70" customFormat="1" ht="25.5" x14ac:dyDescent="0.2">
      <c r="A24" s="548" t="s">
        <v>0</v>
      </c>
      <c r="B24" s="549" t="s">
        <v>0</v>
      </c>
      <c r="C24" s="551" t="s">
        <v>10</v>
      </c>
      <c r="D24" s="551" t="s">
        <v>21</v>
      </c>
      <c r="E24" s="465" t="s">
        <v>590</v>
      </c>
      <c r="F24" s="465"/>
      <c r="G24" s="465"/>
      <c r="H24" s="465"/>
      <c r="I24" s="465"/>
      <c r="J24" s="456" t="s">
        <v>19</v>
      </c>
      <c r="K24" s="33" t="s">
        <v>589</v>
      </c>
      <c r="L24" s="61" t="s">
        <v>576</v>
      </c>
      <c r="M24" s="33" t="s">
        <v>12</v>
      </c>
      <c r="N24" s="203">
        <v>3</v>
      </c>
      <c r="O24" s="203">
        <v>3</v>
      </c>
      <c r="P24" s="203">
        <v>3</v>
      </c>
      <c r="Q24" s="145" t="s">
        <v>19</v>
      </c>
      <c r="R24" s="216"/>
      <c r="S24" s="226"/>
    </row>
    <row r="25" spans="1:23" s="70" customFormat="1" ht="25.5" x14ac:dyDescent="0.2">
      <c r="A25" s="548"/>
      <c r="B25" s="549"/>
      <c r="C25" s="551"/>
      <c r="D25" s="551"/>
      <c r="E25" s="465"/>
      <c r="F25" s="465"/>
      <c r="G25" s="465"/>
      <c r="H25" s="465"/>
      <c r="I25" s="465"/>
      <c r="J25" s="456"/>
      <c r="K25" s="33" t="s">
        <v>588</v>
      </c>
      <c r="L25" s="61" t="s">
        <v>540</v>
      </c>
      <c r="M25" s="33" t="s">
        <v>12</v>
      </c>
      <c r="N25" s="145">
        <v>1</v>
      </c>
      <c r="O25" s="145">
        <v>1</v>
      </c>
      <c r="P25" s="145">
        <v>1</v>
      </c>
      <c r="Q25" s="145" t="s">
        <v>19</v>
      </c>
      <c r="R25" s="216"/>
    </row>
    <row r="26" spans="1:23" s="70" customFormat="1" x14ac:dyDescent="0.2">
      <c r="A26" s="548"/>
      <c r="B26" s="549"/>
      <c r="C26" s="551"/>
      <c r="D26" s="551"/>
      <c r="E26" s="465"/>
      <c r="F26" s="465"/>
      <c r="G26" s="465"/>
      <c r="H26" s="465"/>
      <c r="I26" s="465"/>
      <c r="J26" s="456"/>
      <c r="K26" s="33" t="s">
        <v>587</v>
      </c>
      <c r="L26" s="61" t="s">
        <v>573</v>
      </c>
      <c r="M26" s="33" t="s">
        <v>12</v>
      </c>
      <c r="N26" s="203">
        <v>10</v>
      </c>
      <c r="O26" s="203">
        <v>10</v>
      </c>
      <c r="P26" s="203">
        <v>10</v>
      </c>
      <c r="Q26" s="145" t="s">
        <v>19</v>
      </c>
      <c r="R26" s="216"/>
    </row>
    <row r="27" spans="1:23" s="70" customFormat="1" x14ac:dyDescent="0.2">
      <c r="A27" s="548"/>
      <c r="B27" s="549"/>
      <c r="C27" s="551"/>
      <c r="D27" s="551"/>
      <c r="E27" s="32" t="s">
        <v>14</v>
      </c>
      <c r="F27" s="335">
        <v>172.3</v>
      </c>
      <c r="G27" s="335">
        <f>231.9+1.6</f>
        <v>233.5</v>
      </c>
      <c r="H27" s="94">
        <f>ROUND(G27*Lapas1!$A$1,1)</f>
        <v>254.5</v>
      </c>
      <c r="I27" s="94">
        <f>ROUND(H27*Lapas1!$A$2,1)</f>
        <v>287.60000000000002</v>
      </c>
      <c r="J27" s="26"/>
      <c r="K27" s="26"/>
      <c r="L27" s="43"/>
      <c r="M27" s="43"/>
      <c r="N27" s="24"/>
      <c r="O27" s="220"/>
      <c r="P27" s="220"/>
      <c r="Q27" s="220"/>
      <c r="R27" s="216"/>
    </row>
    <row r="28" spans="1:23" s="70" customFormat="1" x14ac:dyDescent="0.2">
      <c r="A28" s="548"/>
      <c r="B28" s="549"/>
      <c r="C28" s="551"/>
      <c r="D28" s="551"/>
      <c r="E28" s="32" t="s">
        <v>17</v>
      </c>
      <c r="F28" s="340">
        <v>0.8</v>
      </c>
      <c r="G28" s="339">
        <v>3</v>
      </c>
      <c r="H28" s="94">
        <f>ROUND(G28*Lapas1!$A$1,1)</f>
        <v>3.3</v>
      </c>
      <c r="I28" s="94">
        <f>ROUND(H28*Lapas1!$A$2,1)</f>
        <v>3.7</v>
      </c>
      <c r="J28" s="26"/>
      <c r="K28" s="26"/>
      <c r="L28" s="43"/>
      <c r="M28" s="43"/>
      <c r="N28" s="24"/>
      <c r="O28" s="220"/>
      <c r="P28" s="220"/>
      <c r="Q28" s="220"/>
      <c r="R28" s="216"/>
    </row>
    <row r="29" spans="1:23" s="70" customFormat="1" x14ac:dyDescent="0.2">
      <c r="A29" s="548"/>
      <c r="B29" s="549"/>
      <c r="C29" s="551"/>
      <c r="D29" s="551"/>
      <c r="E29" s="29" t="s">
        <v>22</v>
      </c>
      <c r="F29" s="17">
        <f>SUM(F27:F28)</f>
        <v>173.10000000000002</v>
      </c>
      <c r="G29" s="28">
        <f>SUM(G27:G28)</f>
        <v>236.5</v>
      </c>
      <c r="H29" s="17">
        <f>SUM(H27:H28)</f>
        <v>257.8</v>
      </c>
      <c r="I29" s="17">
        <f>SUM(I27:I28)</f>
        <v>291.3</v>
      </c>
      <c r="J29" s="26"/>
      <c r="K29" s="26"/>
      <c r="L29" s="43"/>
      <c r="M29" s="43"/>
      <c r="N29" s="24"/>
      <c r="O29" s="220"/>
      <c r="P29" s="220"/>
      <c r="Q29" s="220"/>
      <c r="R29" s="42">
        <f>(G29-F29)/F29</f>
        <v>0.3662622761409588</v>
      </c>
    </row>
    <row r="30" spans="1:23" s="70" customFormat="1" ht="25.5" x14ac:dyDescent="0.2">
      <c r="A30" s="548" t="s">
        <v>0</v>
      </c>
      <c r="B30" s="549" t="s">
        <v>0</v>
      </c>
      <c r="C30" s="551" t="s">
        <v>24</v>
      </c>
      <c r="D30" s="551" t="s">
        <v>21</v>
      </c>
      <c r="E30" s="465" t="s">
        <v>586</v>
      </c>
      <c r="F30" s="465"/>
      <c r="G30" s="465"/>
      <c r="H30" s="465"/>
      <c r="I30" s="465"/>
      <c r="J30" s="456" t="s">
        <v>19</v>
      </c>
      <c r="K30" s="33" t="s">
        <v>585</v>
      </c>
      <c r="L30" s="61" t="s">
        <v>576</v>
      </c>
      <c r="M30" s="33" t="s">
        <v>12</v>
      </c>
      <c r="N30" s="145">
        <v>8</v>
      </c>
      <c r="O30" s="145">
        <v>8</v>
      </c>
      <c r="P30" s="145">
        <v>9</v>
      </c>
      <c r="Q30" s="145" t="s">
        <v>19</v>
      </c>
      <c r="R30" s="216"/>
      <c r="S30" s="226"/>
    </row>
    <row r="31" spans="1:23" s="70" customFormat="1" ht="25.5" x14ac:dyDescent="0.2">
      <c r="A31" s="548"/>
      <c r="B31" s="549"/>
      <c r="C31" s="551"/>
      <c r="D31" s="551"/>
      <c r="E31" s="465"/>
      <c r="F31" s="465"/>
      <c r="G31" s="465"/>
      <c r="H31" s="465"/>
      <c r="I31" s="465"/>
      <c r="J31" s="456"/>
      <c r="K31" s="33" t="s">
        <v>584</v>
      </c>
      <c r="L31" s="61" t="s">
        <v>540</v>
      </c>
      <c r="M31" s="33" t="s">
        <v>12</v>
      </c>
      <c r="N31" s="145">
        <v>1</v>
      </c>
      <c r="O31" s="145">
        <v>1</v>
      </c>
      <c r="P31" s="145">
        <v>1</v>
      </c>
      <c r="Q31" s="145" t="s">
        <v>19</v>
      </c>
      <c r="R31" s="216"/>
    </row>
    <row r="32" spans="1:23" s="70" customFormat="1" x14ac:dyDescent="0.2">
      <c r="A32" s="548"/>
      <c r="B32" s="549"/>
      <c r="C32" s="551"/>
      <c r="D32" s="551"/>
      <c r="E32" s="465"/>
      <c r="F32" s="465"/>
      <c r="G32" s="465"/>
      <c r="H32" s="465"/>
      <c r="I32" s="465"/>
      <c r="J32" s="456"/>
      <c r="K32" s="33" t="s">
        <v>583</v>
      </c>
      <c r="L32" s="61" t="s">
        <v>573</v>
      </c>
      <c r="M32" s="33" t="s">
        <v>12</v>
      </c>
      <c r="N32" s="145">
        <v>8</v>
      </c>
      <c r="O32" s="145">
        <v>8</v>
      </c>
      <c r="P32" s="145">
        <v>8</v>
      </c>
      <c r="Q32" s="145" t="s">
        <v>19</v>
      </c>
      <c r="R32" s="216"/>
    </row>
    <row r="33" spans="1:19" s="70" customFormat="1" x14ac:dyDescent="0.2">
      <c r="A33" s="548"/>
      <c r="B33" s="549"/>
      <c r="C33" s="551"/>
      <c r="D33" s="551"/>
      <c r="E33" s="32" t="s">
        <v>14</v>
      </c>
      <c r="F33" s="31">
        <v>163.69999999999999</v>
      </c>
      <c r="G33" s="31">
        <f>173.2+1.3</f>
        <v>174.5</v>
      </c>
      <c r="H33" s="94">
        <f>ROUND(G33*Lapas1!$A$1,1)</f>
        <v>190.2</v>
      </c>
      <c r="I33" s="94">
        <f>ROUND(H33*Lapas1!$A$2,1)</f>
        <v>214.9</v>
      </c>
      <c r="J33" s="26"/>
      <c r="K33" s="26"/>
      <c r="L33" s="43"/>
      <c r="M33" s="43"/>
      <c r="N33" s="24"/>
      <c r="O33" s="220"/>
      <c r="P33" s="220"/>
      <c r="Q33" s="220"/>
      <c r="R33" s="216"/>
    </row>
    <row r="34" spans="1:19" s="70" customFormat="1" x14ac:dyDescent="0.2">
      <c r="A34" s="548"/>
      <c r="B34" s="549"/>
      <c r="C34" s="551"/>
      <c r="D34" s="551"/>
      <c r="E34" s="32" t="s">
        <v>17</v>
      </c>
      <c r="F34" s="31">
        <v>2.4</v>
      </c>
      <c r="G34" s="31">
        <v>2.2000000000000002</v>
      </c>
      <c r="H34" s="94">
        <f>ROUND(G34*Lapas1!$A$1,1)</f>
        <v>2.4</v>
      </c>
      <c r="I34" s="94">
        <f>ROUND(H34*Lapas1!$A$2,1)</f>
        <v>2.7</v>
      </c>
      <c r="J34" s="26"/>
      <c r="K34" s="26"/>
      <c r="L34" s="43"/>
      <c r="M34" s="43"/>
      <c r="N34" s="24"/>
      <c r="O34" s="220"/>
      <c r="P34" s="220"/>
      <c r="Q34" s="220"/>
      <c r="R34" s="216"/>
    </row>
    <row r="35" spans="1:19" s="70" customFormat="1" x14ac:dyDescent="0.2">
      <c r="A35" s="548"/>
      <c r="B35" s="549"/>
      <c r="C35" s="551"/>
      <c r="D35" s="551"/>
      <c r="E35" s="29" t="s">
        <v>22</v>
      </c>
      <c r="F35" s="17">
        <f>SUM(F33:F34)</f>
        <v>166.1</v>
      </c>
      <c r="G35" s="28">
        <f>SUM(G33:G34)</f>
        <v>176.7</v>
      </c>
      <c r="H35" s="17">
        <f>SUM(H33:H34)</f>
        <v>192.6</v>
      </c>
      <c r="I35" s="17">
        <f>SUM(I33:I34)</f>
        <v>217.6</v>
      </c>
      <c r="J35" s="26"/>
      <c r="K35" s="26"/>
      <c r="L35" s="43"/>
      <c r="M35" s="43"/>
      <c r="N35" s="24"/>
      <c r="O35" s="220"/>
      <c r="P35" s="220"/>
      <c r="Q35" s="220"/>
      <c r="R35" s="42">
        <f>(G35-F35)/F35</f>
        <v>6.3816977724262466E-2</v>
      </c>
    </row>
    <row r="36" spans="1:19" s="70" customFormat="1" ht="25.5" x14ac:dyDescent="0.2">
      <c r="A36" s="548" t="s">
        <v>0</v>
      </c>
      <c r="B36" s="549" t="s">
        <v>0</v>
      </c>
      <c r="C36" s="551" t="s">
        <v>25</v>
      </c>
      <c r="D36" s="551" t="s">
        <v>21</v>
      </c>
      <c r="E36" s="465" t="s">
        <v>582</v>
      </c>
      <c r="F36" s="465"/>
      <c r="G36" s="465"/>
      <c r="H36" s="465"/>
      <c r="I36" s="465"/>
      <c r="J36" s="456" t="s">
        <v>19</v>
      </c>
      <c r="K36" s="33" t="s">
        <v>581</v>
      </c>
      <c r="L36" s="61" t="s">
        <v>576</v>
      </c>
      <c r="M36" s="33" t="s">
        <v>12</v>
      </c>
      <c r="N36" s="145">
        <v>4</v>
      </c>
      <c r="O36" s="145">
        <v>4</v>
      </c>
      <c r="P36" s="145">
        <v>4</v>
      </c>
      <c r="Q36" s="145" t="s">
        <v>19</v>
      </c>
      <c r="R36" s="216"/>
      <c r="S36" s="226"/>
    </row>
    <row r="37" spans="1:19" s="70" customFormat="1" ht="25.5" x14ac:dyDescent="0.2">
      <c r="A37" s="548"/>
      <c r="B37" s="549"/>
      <c r="C37" s="551"/>
      <c r="D37" s="551"/>
      <c r="E37" s="465"/>
      <c r="F37" s="465"/>
      <c r="G37" s="465"/>
      <c r="H37" s="465"/>
      <c r="I37" s="465"/>
      <c r="J37" s="456"/>
      <c r="K37" s="33" t="s">
        <v>580</v>
      </c>
      <c r="L37" s="61" t="s">
        <v>540</v>
      </c>
      <c r="M37" s="33" t="s">
        <v>12</v>
      </c>
      <c r="N37" s="145">
        <v>3</v>
      </c>
      <c r="O37" s="145">
        <v>3</v>
      </c>
      <c r="P37" s="145">
        <v>3</v>
      </c>
      <c r="Q37" s="145" t="s">
        <v>19</v>
      </c>
      <c r="R37" s="216"/>
    </row>
    <row r="38" spans="1:19" s="70" customFormat="1" x14ac:dyDescent="0.2">
      <c r="A38" s="548"/>
      <c r="B38" s="549"/>
      <c r="C38" s="551"/>
      <c r="D38" s="551"/>
      <c r="E38" s="465"/>
      <c r="F38" s="465"/>
      <c r="G38" s="465"/>
      <c r="H38" s="465"/>
      <c r="I38" s="465"/>
      <c r="J38" s="456"/>
      <c r="K38" s="33" t="s">
        <v>579</v>
      </c>
      <c r="L38" s="61" t="s">
        <v>573</v>
      </c>
      <c r="M38" s="33" t="s">
        <v>12</v>
      </c>
      <c r="N38" s="145">
        <v>19</v>
      </c>
      <c r="O38" s="145">
        <v>19</v>
      </c>
      <c r="P38" s="145">
        <v>18</v>
      </c>
      <c r="Q38" s="145" t="s">
        <v>19</v>
      </c>
      <c r="R38" s="216"/>
    </row>
    <row r="39" spans="1:19" s="70" customFormat="1" x14ac:dyDescent="0.2">
      <c r="A39" s="548"/>
      <c r="B39" s="549"/>
      <c r="C39" s="551"/>
      <c r="D39" s="551"/>
      <c r="E39" s="32" t="s">
        <v>14</v>
      </c>
      <c r="F39" s="31">
        <v>236.9</v>
      </c>
      <c r="G39" s="31">
        <f>258.3+2.7</f>
        <v>261</v>
      </c>
      <c r="H39" s="94">
        <f>ROUND(G39*Lapas1!$A$1,1)</f>
        <v>284.5</v>
      </c>
      <c r="I39" s="94">
        <f>ROUND(H39*Lapas1!$A$2,1)</f>
        <v>321.5</v>
      </c>
      <c r="J39" s="26"/>
      <c r="K39" s="26"/>
      <c r="L39" s="43"/>
      <c r="M39" s="43"/>
      <c r="N39" s="24"/>
      <c r="O39" s="220"/>
      <c r="P39" s="220"/>
      <c r="Q39" s="220"/>
      <c r="R39" s="216"/>
    </row>
    <row r="40" spans="1:19" s="70" customFormat="1" x14ac:dyDescent="0.2">
      <c r="A40" s="548"/>
      <c r="B40" s="549"/>
      <c r="C40" s="551"/>
      <c r="D40" s="551"/>
      <c r="E40" s="32" t="s">
        <v>17</v>
      </c>
      <c r="F40" s="31">
        <v>6.3</v>
      </c>
      <c r="G40" s="31">
        <v>6.3</v>
      </c>
      <c r="H40" s="94">
        <f>ROUND(G40*Lapas1!$A$1,1)</f>
        <v>6.9</v>
      </c>
      <c r="I40" s="94">
        <f>ROUND(H40*Lapas1!$A$2,1)</f>
        <v>7.8</v>
      </c>
      <c r="J40" s="26"/>
      <c r="K40" s="26"/>
      <c r="L40" s="43"/>
      <c r="M40" s="43"/>
      <c r="N40" s="24"/>
      <c r="O40" s="220"/>
      <c r="P40" s="220"/>
      <c r="Q40" s="220"/>
      <c r="R40" s="216"/>
    </row>
    <row r="41" spans="1:19" s="70" customFormat="1" x14ac:dyDescent="0.2">
      <c r="A41" s="548"/>
      <c r="B41" s="549"/>
      <c r="C41" s="551"/>
      <c r="D41" s="551"/>
      <c r="E41" s="29" t="s">
        <v>22</v>
      </c>
      <c r="F41" s="17">
        <f>SUM(F39:F40)</f>
        <v>243.20000000000002</v>
      </c>
      <c r="G41" s="28">
        <f>SUM(G39:G40)</f>
        <v>267.3</v>
      </c>
      <c r="H41" s="17">
        <f>SUM(H39:H40)</f>
        <v>291.39999999999998</v>
      </c>
      <c r="I41" s="17">
        <f>SUM(I39:I40)</f>
        <v>329.3</v>
      </c>
      <c r="J41" s="26"/>
      <c r="K41" s="26"/>
      <c r="L41" s="43"/>
      <c r="M41" s="43"/>
      <c r="N41" s="24"/>
      <c r="O41" s="220"/>
      <c r="P41" s="220"/>
      <c r="Q41" s="220"/>
      <c r="R41" s="42">
        <f>(G41-F41)/F41</f>
        <v>9.9095394736842077E-2</v>
      </c>
    </row>
    <row r="42" spans="1:19" s="70" customFormat="1" ht="25.5" x14ac:dyDescent="0.2">
      <c r="A42" s="548" t="s">
        <v>0</v>
      </c>
      <c r="B42" s="549" t="s">
        <v>0</v>
      </c>
      <c r="C42" s="551" t="s">
        <v>26</v>
      </c>
      <c r="D42" s="551" t="s">
        <v>21</v>
      </c>
      <c r="E42" s="465" t="s">
        <v>578</v>
      </c>
      <c r="F42" s="465"/>
      <c r="G42" s="465"/>
      <c r="H42" s="465"/>
      <c r="I42" s="465"/>
      <c r="J42" s="456" t="s">
        <v>19</v>
      </c>
      <c r="K42" s="33" t="s">
        <v>577</v>
      </c>
      <c r="L42" s="61" t="s">
        <v>576</v>
      </c>
      <c r="M42" s="33" t="s">
        <v>12</v>
      </c>
      <c r="N42" s="145">
        <v>6</v>
      </c>
      <c r="O42" s="145">
        <v>7</v>
      </c>
      <c r="P42" s="145">
        <v>7</v>
      </c>
      <c r="Q42" s="145" t="s">
        <v>19</v>
      </c>
      <c r="R42" s="216"/>
    </row>
    <row r="43" spans="1:19" s="70" customFormat="1" ht="25.5" x14ac:dyDescent="0.2">
      <c r="A43" s="548"/>
      <c r="B43" s="549"/>
      <c r="C43" s="551"/>
      <c r="D43" s="551"/>
      <c r="E43" s="465"/>
      <c r="F43" s="465"/>
      <c r="G43" s="465"/>
      <c r="H43" s="465"/>
      <c r="I43" s="465"/>
      <c r="J43" s="456"/>
      <c r="K43" s="33" t="s">
        <v>575</v>
      </c>
      <c r="L43" s="61" t="s">
        <v>540</v>
      </c>
      <c r="M43" s="33" t="s">
        <v>12</v>
      </c>
      <c r="N43" s="145">
        <v>1</v>
      </c>
      <c r="O43" s="145">
        <v>2</v>
      </c>
      <c r="P43" s="145">
        <v>2</v>
      </c>
      <c r="Q43" s="145" t="s">
        <v>19</v>
      </c>
      <c r="R43" s="216"/>
    </row>
    <row r="44" spans="1:19" s="70" customFormat="1" x14ac:dyDescent="0.2">
      <c r="A44" s="548"/>
      <c r="B44" s="549"/>
      <c r="C44" s="551"/>
      <c r="D44" s="551"/>
      <c r="E44" s="465"/>
      <c r="F44" s="465"/>
      <c r="G44" s="465"/>
      <c r="H44" s="465"/>
      <c r="I44" s="465"/>
      <c r="J44" s="456"/>
      <c r="K44" s="33" t="s">
        <v>574</v>
      </c>
      <c r="L44" s="61" t="s">
        <v>573</v>
      </c>
      <c r="M44" s="33" t="s">
        <v>12</v>
      </c>
      <c r="N44" s="145">
        <v>10</v>
      </c>
      <c r="O44" s="145">
        <v>11</v>
      </c>
      <c r="P44" s="145">
        <v>11</v>
      </c>
      <c r="Q44" s="145" t="s">
        <v>19</v>
      </c>
      <c r="R44" s="216"/>
    </row>
    <row r="45" spans="1:19" s="70" customFormat="1" x14ac:dyDescent="0.2">
      <c r="A45" s="548"/>
      <c r="B45" s="549"/>
      <c r="C45" s="551"/>
      <c r="D45" s="551"/>
      <c r="E45" s="32" t="s">
        <v>14</v>
      </c>
      <c r="F45" s="31">
        <v>235.1</v>
      </c>
      <c r="G45" s="31">
        <f>254.4+0.7</f>
        <v>255.1</v>
      </c>
      <c r="H45" s="94">
        <f>ROUND(G45*Lapas1!$A$1,1)</f>
        <v>278.10000000000002</v>
      </c>
      <c r="I45" s="94">
        <f>ROUND(H45*Lapas1!$A$2,1)</f>
        <v>314.3</v>
      </c>
      <c r="J45" s="26"/>
      <c r="K45" s="26"/>
      <c r="L45" s="43"/>
      <c r="M45" s="43"/>
      <c r="N45" s="24"/>
      <c r="O45" s="24"/>
      <c r="P45" s="220"/>
      <c r="Q45" s="220"/>
      <c r="R45" s="216"/>
    </row>
    <row r="46" spans="1:19" s="70" customFormat="1" x14ac:dyDescent="0.2">
      <c r="A46" s="548"/>
      <c r="B46" s="549"/>
      <c r="C46" s="551"/>
      <c r="D46" s="551"/>
      <c r="E46" s="32" t="s">
        <v>17</v>
      </c>
      <c r="F46" s="31">
        <v>2</v>
      </c>
      <c r="G46" s="31">
        <f>2.4+0.045</f>
        <v>2.4449999999999998</v>
      </c>
      <c r="H46" s="94">
        <f>ROUND(G46*Lapas1!$A$1,1)</f>
        <v>2.7</v>
      </c>
      <c r="I46" s="94">
        <f>ROUND(H46*Lapas1!$A$2,1)</f>
        <v>3.1</v>
      </c>
      <c r="J46" s="26"/>
      <c r="K46" s="26"/>
      <c r="L46" s="43"/>
      <c r="M46" s="43"/>
      <c r="N46" s="24"/>
      <c r="O46" s="24"/>
      <c r="P46" s="220"/>
      <c r="Q46" s="220"/>
      <c r="R46" s="216"/>
    </row>
    <row r="47" spans="1:19" s="70" customFormat="1" x14ac:dyDescent="0.2">
      <c r="A47" s="548"/>
      <c r="B47" s="549"/>
      <c r="C47" s="551"/>
      <c r="D47" s="551"/>
      <c r="E47" s="29" t="s">
        <v>22</v>
      </c>
      <c r="F47" s="17">
        <f>SUM(F45:F46)</f>
        <v>237.1</v>
      </c>
      <c r="G47" s="28">
        <f>SUM(G45:G46)</f>
        <v>257.54500000000002</v>
      </c>
      <c r="H47" s="17">
        <f>SUM(H45:H46)</f>
        <v>280.8</v>
      </c>
      <c r="I47" s="17">
        <f>SUM(I45:I46)</f>
        <v>317.40000000000003</v>
      </c>
      <c r="J47" s="26"/>
      <c r="K47" s="26"/>
      <c r="L47" s="43"/>
      <c r="M47" s="43"/>
      <c r="N47" s="24"/>
      <c r="O47" s="24"/>
      <c r="P47" s="220"/>
      <c r="Q47" s="220"/>
      <c r="R47" s="42">
        <f>(G47-F47)/F47</f>
        <v>8.6229439055251045E-2</v>
      </c>
    </row>
    <row r="48" spans="1:19" s="70" customFormat="1" x14ac:dyDescent="0.2">
      <c r="A48" s="152" t="s">
        <v>0</v>
      </c>
      <c r="B48" s="154" t="s">
        <v>0</v>
      </c>
      <c r="C48" s="74"/>
      <c r="D48" s="74" t="s">
        <v>31</v>
      </c>
      <c r="E48" s="41" t="s">
        <v>2</v>
      </c>
      <c r="F48" s="39">
        <f>F23+F29+F35+F41+F47</f>
        <v>1837.4999999999998</v>
      </c>
      <c r="G48" s="40">
        <f t="shared" ref="G48:I48" si="0">G23+G29+G35+G41+G47</f>
        <v>2071.2449999999999</v>
      </c>
      <c r="H48" s="39">
        <f t="shared" si="0"/>
        <v>2257.8000000000002</v>
      </c>
      <c r="I48" s="39">
        <f t="shared" si="0"/>
        <v>2551.4</v>
      </c>
      <c r="J48" s="154"/>
      <c r="K48" s="84"/>
      <c r="L48" s="84"/>
      <c r="M48" s="84"/>
      <c r="N48" s="84"/>
      <c r="O48" s="84"/>
      <c r="P48" s="84"/>
      <c r="Q48" s="84"/>
      <c r="R48" s="216"/>
    </row>
    <row r="49" spans="1:23" s="70" customFormat="1" x14ac:dyDescent="0.2">
      <c r="A49" s="227" t="s">
        <v>0</v>
      </c>
      <c r="B49" s="60"/>
      <c r="C49" s="60"/>
      <c r="D49" s="60"/>
      <c r="E49" s="37" t="s">
        <v>516</v>
      </c>
      <c r="F49" s="35">
        <f>F48</f>
        <v>1837.4999999999998</v>
      </c>
      <c r="G49" s="36">
        <f>G48</f>
        <v>2071.2449999999999</v>
      </c>
      <c r="H49" s="35">
        <f>H48</f>
        <v>2257.8000000000002</v>
      </c>
      <c r="I49" s="35">
        <f>I48</f>
        <v>2551.4</v>
      </c>
      <c r="J49" s="60"/>
      <c r="K49" s="223"/>
      <c r="L49" s="223"/>
      <c r="M49" s="223"/>
      <c r="N49" s="223"/>
      <c r="O49" s="223"/>
      <c r="P49" s="223"/>
      <c r="Q49" s="223"/>
      <c r="R49" s="216"/>
    </row>
    <row r="50" spans="1:23" s="70" customFormat="1" x14ac:dyDescent="0.2">
      <c r="A50" s="152" t="s">
        <v>10</v>
      </c>
      <c r="B50" s="75"/>
      <c r="C50" s="75"/>
      <c r="D50" s="75"/>
      <c r="E50" s="472" t="s">
        <v>572</v>
      </c>
      <c r="F50" s="472"/>
      <c r="G50" s="472"/>
      <c r="H50" s="472"/>
      <c r="I50" s="472"/>
      <c r="J50" s="472"/>
      <c r="K50" s="472"/>
      <c r="L50" s="472"/>
      <c r="M50" s="472"/>
      <c r="N50" s="472"/>
      <c r="O50" s="472"/>
      <c r="P50" s="472"/>
      <c r="Q50" s="472"/>
      <c r="R50" s="216"/>
    </row>
    <row r="51" spans="1:23" s="70" customFormat="1" ht="25.5" x14ac:dyDescent="0.2">
      <c r="A51" s="548" t="s">
        <v>10</v>
      </c>
      <c r="B51" s="554" t="s">
        <v>0</v>
      </c>
      <c r="C51" s="555"/>
      <c r="D51" s="556" t="s">
        <v>31</v>
      </c>
      <c r="E51" s="469" t="s">
        <v>571</v>
      </c>
      <c r="F51" s="469"/>
      <c r="G51" s="469"/>
      <c r="H51" s="469"/>
      <c r="I51" s="469"/>
      <c r="J51" s="468" t="s">
        <v>860</v>
      </c>
      <c r="K51" s="34" t="s">
        <v>570</v>
      </c>
      <c r="L51" s="34" t="s">
        <v>569</v>
      </c>
      <c r="M51" s="34" t="s">
        <v>11</v>
      </c>
      <c r="N51" s="148">
        <v>2</v>
      </c>
      <c r="O51" s="148">
        <v>2</v>
      </c>
      <c r="P51" s="148">
        <v>2</v>
      </c>
      <c r="Q51" s="473" t="s">
        <v>1020</v>
      </c>
      <c r="R51" s="216"/>
    </row>
    <row r="52" spans="1:23" s="70" customFormat="1" ht="25.5" x14ac:dyDescent="0.2">
      <c r="A52" s="548"/>
      <c r="B52" s="554"/>
      <c r="C52" s="555"/>
      <c r="D52" s="556"/>
      <c r="E52" s="469"/>
      <c r="F52" s="469"/>
      <c r="G52" s="469"/>
      <c r="H52" s="469"/>
      <c r="I52" s="469"/>
      <c r="J52" s="468"/>
      <c r="K52" s="34" t="s">
        <v>568</v>
      </c>
      <c r="L52" s="34" t="s">
        <v>567</v>
      </c>
      <c r="M52" s="34" t="s">
        <v>11</v>
      </c>
      <c r="N52" s="148">
        <v>14</v>
      </c>
      <c r="O52" s="148">
        <v>14</v>
      </c>
      <c r="P52" s="148">
        <v>14</v>
      </c>
      <c r="Q52" s="473"/>
      <c r="R52" s="216"/>
    </row>
    <row r="53" spans="1:23" s="70" customFormat="1" ht="25.5" x14ac:dyDescent="0.2">
      <c r="A53" s="548"/>
      <c r="B53" s="554"/>
      <c r="C53" s="555"/>
      <c r="D53" s="556"/>
      <c r="E53" s="469"/>
      <c r="F53" s="469"/>
      <c r="G53" s="469"/>
      <c r="H53" s="469"/>
      <c r="I53" s="469"/>
      <c r="J53" s="468"/>
      <c r="K53" s="34" t="s">
        <v>566</v>
      </c>
      <c r="L53" s="34" t="s">
        <v>565</v>
      </c>
      <c r="M53" s="34" t="s">
        <v>11</v>
      </c>
      <c r="N53" s="148">
        <v>5.5</v>
      </c>
      <c r="O53" s="148">
        <v>6</v>
      </c>
      <c r="P53" s="148">
        <v>6</v>
      </c>
      <c r="Q53" s="473"/>
      <c r="R53" s="216"/>
    </row>
    <row r="54" spans="1:23" s="70" customFormat="1" ht="25.5" x14ac:dyDescent="0.2">
      <c r="A54" s="548" t="s">
        <v>10</v>
      </c>
      <c r="B54" s="549" t="s">
        <v>0</v>
      </c>
      <c r="C54" s="552" t="s">
        <v>0</v>
      </c>
      <c r="D54" s="552" t="s">
        <v>21</v>
      </c>
      <c r="E54" s="465" t="s">
        <v>564</v>
      </c>
      <c r="F54" s="465"/>
      <c r="G54" s="465"/>
      <c r="H54" s="465"/>
      <c r="I54" s="465"/>
      <c r="J54" s="456" t="s">
        <v>19</v>
      </c>
      <c r="K54" s="33" t="s">
        <v>563</v>
      </c>
      <c r="L54" s="86" t="s">
        <v>911</v>
      </c>
      <c r="M54" s="33" t="s">
        <v>35</v>
      </c>
      <c r="N54" s="145">
        <v>116000</v>
      </c>
      <c r="O54" s="145">
        <v>116000</v>
      </c>
      <c r="P54" s="145">
        <v>116500</v>
      </c>
      <c r="Q54" s="145" t="s">
        <v>19</v>
      </c>
      <c r="R54" s="216"/>
      <c r="S54" s="557"/>
      <c r="T54" s="557"/>
      <c r="U54" s="557"/>
      <c r="V54" s="557"/>
      <c r="W54" s="557"/>
    </row>
    <row r="55" spans="1:23" s="70" customFormat="1" ht="25.5" x14ac:dyDescent="0.2">
      <c r="A55" s="548"/>
      <c r="B55" s="549"/>
      <c r="C55" s="552"/>
      <c r="D55" s="552"/>
      <c r="E55" s="465"/>
      <c r="F55" s="465"/>
      <c r="G55" s="465"/>
      <c r="H55" s="465"/>
      <c r="I55" s="465"/>
      <c r="J55" s="456"/>
      <c r="K55" s="33" t="s">
        <v>562</v>
      </c>
      <c r="L55" s="61" t="s">
        <v>561</v>
      </c>
      <c r="M55" s="33" t="s">
        <v>12</v>
      </c>
      <c r="N55" s="145">
        <v>700</v>
      </c>
      <c r="O55" s="145">
        <v>700</v>
      </c>
      <c r="P55" s="145">
        <v>750</v>
      </c>
      <c r="Q55" s="145" t="s">
        <v>19</v>
      </c>
      <c r="R55" s="216"/>
      <c r="S55" s="150"/>
      <c r="T55" s="150"/>
      <c r="U55" s="150"/>
      <c r="V55" s="150"/>
      <c r="W55" s="150"/>
    </row>
    <row r="56" spans="1:23" s="70" customFormat="1" x14ac:dyDescent="0.2">
      <c r="A56" s="548"/>
      <c r="B56" s="549"/>
      <c r="C56" s="552"/>
      <c r="D56" s="552"/>
      <c r="E56" s="465"/>
      <c r="F56" s="465"/>
      <c r="G56" s="465"/>
      <c r="H56" s="465"/>
      <c r="I56" s="465"/>
      <c r="J56" s="456"/>
      <c r="K56" s="33" t="s">
        <v>560</v>
      </c>
      <c r="L56" s="61" t="s">
        <v>559</v>
      </c>
      <c r="M56" s="33" t="s">
        <v>12</v>
      </c>
      <c r="N56" s="145">
        <v>136000</v>
      </c>
      <c r="O56" s="145">
        <v>136000</v>
      </c>
      <c r="P56" s="145">
        <v>136000</v>
      </c>
      <c r="Q56" s="145" t="s">
        <v>19</v>
      </c>
      <c r="R56" s="216"/>
      <c r="S56" s="150"/>
      <c r="T56" s="150"/>
      <c r="U56" s="150"/>
      <c r="V56" s="150"/>
      <c r="W56" s="150"/>
    </row>
    <row r="57" spans="1:23" s="70" customFormat="1" x14ac:dyDescent="0.2">
      <c r="A57" s="548"/>
      <c r="B57" s="549"/>
      <c r="C57" s="552"/>
      <c r="D57" s="552"/>
      <c r="E57" s="61" t="s">
        <v>14</v>
      </c>
      <c r="F57" s="31">
        <v>945.3</v>
      </c>
      <c r="G57" s="31">
        <f>1035.2+1</f>
        <v>1036.2</v>
      </c>
      <c r="H57" s="94">
        <f>ROUND(G57*Lapas1!$A$1,1)</f>
        <v>1129.5</v>
      </c>
      <c r="I57" s="94">
        <f>ROUND(H57*Lapas1!$A$2,1)</f>
        <v>1276.3</v>
      </c>
      <c r="J57" s="26"/>
      <c r="K57" s="26"/>
      <c r="L57" s="43"/>
      <c r="M57" s="43"/>
      <c r="N57" s="24"/>
      <c r="O57" s="220"/>
      <c r="P57" s="220"/>
      <c r="Q57" s="220"/>
      <c r="R57" s="216"/>
    </row>
    <row r="58" spans="1:23" s="70" customFormat="1" x14ac:dyDescent="0.2">
      <c r="A58" s="548"/>
      <c r="B58" s="549"/>
      <c r="C58" s="552"/>
      <c r="D58" s="552"/>
      <c r="E58" s="61" t="s">
        <v>15</v>
      </c>
      <c r="F58" s="31">
        <v>42.643999999999998</v>
      </c>
      <c r="G58" s="31">
        <v>40.008000000000003</v>
      </c>
      <c r="H58" s="94">
        <f>ROUND(G58*Lapas1!$A$1,1)</f>
        <v>43.6</v>
      </c>
      <c r="I58" s="94">
        <f>ROUND(H58*Lapas1!$A$2,1)</f>
        <v>49.3</v>
      </c>
      <c r="J58" s="26"/>
      <c r="K58" s="26"/>
      <c r="L58" s="43"/>
      <c r="M58" s="43"/>
      <c r="N58" s="24"/>
      <c r="O58" s="220"/>
      <c r="P58" s="220"/>
      <c r="Q58" s="220"/>
      <c r="R58" s="216"/>
    </row>
    <row r="59" spans="1:23" s="70" customFormat="1" x14ac:dyDescent="0.2">
      <c r="A59" s="548"/>
      <c r="B59" s="549"/>
      <c r="C59" s="552"/>
      <c r="D59" s="552"/>
      <c r="E59" s="61" t="s">
        <v>17</v>
      </c>
      <c r="F59" s="31">
        <v>6</v>
      </c>
      <c r="G59" s="31">
        <v>6</v>
      </c>
      <c r="H59" s="94">
        <f>ROUND(G59*Lapas1!$A$1,1)</f>
        <v>6.5</v>
      </c>
      <c r="I59" s="94">
        <f>ROUND(H59*Lapas1!$A$2,1)</f>
        <v>7.3</v>
      </c>
      <c r="J59" s="26"/>
      <c r="K59" s="26"/>
      <c r="L59" s="43"/>
      <c r="M59" s="43"/>
      <c r="N59" s="24"/>
      <c r="O59" s="220"/>
      <c r="P59" s="220"/>
      <c r="Q59" s="220"/>
      <c r="R59" s="216"/>
    </row>
    <row r="60" spans="1:23" s="70" customFormat="1" x14ac:dyDescent="0.2">
      <c r="A60" s="548"/>
      <c r="B60" s="549"/>
      <c r="C60" s="552"/>
      <c r="D60" s="552"/>
      <c r="E60" s="29" t="s">
        <v>22</v>
      </c>
      <c r="F60" s="17">
        <f>SUM(F57:F59)</f>
        <v>993.94399999999996</v>
      </c>
      <c r="G60" s="28">
        <f>SUM(G57:G59)</f>
        <v>1082.2080000000001</v>
      </c>
      <c r="H60" s="17">
        <f>SUM(H57:H59)</f>
        <v>1179.5999999999999</v>
      </c>
      <c r="I60" s="17">
        <f>SUM(I57:I59)</f>
        <v>1332.8999999999999</v>
      </c>
      <c r="J60" s="26"/>
      <c r="K60" s="26"/>
      <c r="L60" s="43"/>
      <c r="M60" s="43"/>
      <c r="N60" s="24"/>
      <c r="O60" s="220"/>
      <c r="P60" s="220"/>
      <c r="Q60" s="220"/>
      <c r="R60" s="42">
        <f>(G60-F60)/F60</f>
        <v>8.8801783601490755E-2</v>
      </c>
    </row>
    <row r="61" spans="1:23" s="70" customFormat="1" x14ac:dyDescent="0.2">
      <c r="A61" s="548" t="s">
        <v>10</v>
      </c>
      <c r="B61" s="549" t="s">
        <v>0</v>
      </c>
      <c r="C61" s="551" t="s">
        <v>10</v>
      </c>
      <c r="D61" s="551" t="s">
        <v>21</v>
      </c>
      <c r="E61" s="465" t="s">
        <v>558</v>
      </c>
      <c r="F61" s="465"/>
      <c r="G61" s="465"/>
      <c r="H61" s="465"/>
      <c r="I61" s="465"/>
      <c r="J61" s="456" t="s">
        <v>19</v>
      </c>
      <c r="K61" s="33" t="s">
        <v>557</v>
      </c>
      <c r="L61" s="61" t="s">
        <v>556</v>
      </c>
      <c r="M61" s="33" t="s">
        <v>12</v>
      </c>
      <c r="N61" s="225">
        <v>3</v>
      </c>
      <c r="O61" s="225">
        <v>4</v>
      </c>
      <c r="P61" s="225">
        <v>4</v>
      </c>
      <c r="Q61" s="225" t="s">
        <v>19</v>
      </c>
      <c r="R61" s="216"/>
      <c r="S61" s="558"/>
      <c r="T61" s="558"/>
      <c r="U61" s="558"/>
      <c r="V61" s="558"/>
      <c r="W61" s="558"/>
    </row>
    <row r="62" spans="1:23" s="70" customFormat="1" ht="25.5" x14ac:dyDescent="0.2">
      <c r="A62" s="548"/>
      <c r="B62" s="549"/>
      <c r="C62" s="551"/>
      <c r="D62" s="551"/>
      <c r="E62" s="465"/>
      <c r="F62" s="465"/>
      <c r="G62" s="465"/>
      <c r="H62" s="465"/>
      <c r="I62" s="465"/>
      <c r="J62" s="456"/>
      <c r="K62" s="33" t="s">
        <v>555</v>
      </c>
      <c r="L62" s="61" t="s">
        <v>554</v>
      </c>
      <c r="M62" s="33" t="s">
        <v>12</v>
      </c>
      <c r="N62" s="225">
        <v>77000</v>
      </c>
      <c r="O62" s="225">
        <v>79000</v>
      </c>
      <c r="P62" s="225">
        <v>80000</v>
      </c>
      <c r="Q62" s="225" t="s">
        <v>19</v>
      </c>
      <c r="R62" s="216"/>
      <c r="S62" s="151"/>
      <c r="T62" s="151"/>
      <c r="U62" s="151"/>
      <c r="V62" s="151"/>
      <c r="W62" s="151"/>
    </row>
    <row r="63" spans="1:23" s="70" customFormat="1" x14ac:dyDescent="0.2">
      <c r="A63" s="548"/>
      <c r="B63" s="549"/>
      <c r="C63" s="551"/>
      <c r="D63" s="551"/>
      <c r="E63" s="465"/>
      <c r="F63" s="465"/>
      <c r="G63" s="465"/>
      <c r="H63" s="465"/>
      <c r="I63" s="465"/>
      <c r="J63" s="456"/>
      <c r="K63" s="33" t="s">
        <v>553</v>
      </c>
      <c r="L63" s="61" t="s">
        <v>552</v>
      </c>
      <c r="M63" s="33" t="s">
        <v>12</v>
      </c>
      <c r="N63" s="225">
        <v>8</v>
      </c>
      <c r="O63" s="225">
        <v>9</v>
      </c>
      <c r="P63" s="225">
        <v>9</v>
      </c>
      <c r="Q63" s="225" t="s">
        <v>19</v>
      </c>
      <c r="R63" s="216"/>
      <c r="S63" s="151"/>
      <c r="T63" s="151"/>
      <c r="U63" s="151"/>
      <c r="V63" s="151"/>
      <c r="W63" s="151"/>
    </row>
    <row r="64" spans="1:23" s="70" customFormat="1" ht="25.5" x14ac:dyDescent="0.2">
      <c r="A64" s="548"/>
      <c r="B64" s="549"/>
      <c r="C64" s="551"/>
      <c r="D64" s="551"/>
      <c r="E64" s="465"/>
      <c r="F64" s="465"/>
      <c r="G64" s="465"/>
      <c r="H64" s="465"/>
      <c r="I64" s="465"/>
      <c r="J64" s="456"/>
      <c r="K64" s="33" t="s">
        <v>551</v>
      </c>
      <c r="L64" s="61" t="s">
        <v>550</v>
      </c>
      <c r="M64" s="33" t="s">
        <v>12</v>
      </c>
      <c r="N64" s="225">
        <v>50</v>
      </c>
      <c r="O64" s="225">
        <v>55</v>
      </c>
      <c r="P64" s="225">
        <v>60</v>
      </c>
      <c r="Q64" s="225" t="s">
        <v>19</v>
      </c>
      <c r="R64" s="216"/>
    </row>
    <row r="65" spans="1:23" s="70" customFormat="1" x14ac:dyDescent="0.2">
      <c r="A65" s="548"/>
      <c r="B65" s="549"/>
      <c r="C65" s="551"/>
      <c r="D65" s="551"/>
      <c r="E65" s="32" t="s">
        <v>14</v>
      </c>
      <c r="F65" s="31">
        <v>149.80000000000001</v>
      </c>
      <c r="G65" s="31">
        <f>182.1+0.4</f>
        <v>182.5</v>
      </c>
      <c r="H65" s="94">
        <f>ROUND(G65*Lapas1!$A$1,1)</f>
        <v>198.9</v>
      </c>
      <c r="I65" s="94">
        <f>ROUND(H65*Lapas1!$A$2,1)</f>
        <v>224.8</v>
      </c>
      <c r="J65" s="26"/>
      <c r="K65" s="26"/>
      <c r="L65" s="43"/>
      <c r="M65" s="43"/>
      <c r="N65" s="24"/>
      <c r="O65" s="220"/>
      <c r="P65" s="220"/>
      <c r="Q65" s="220"/>
      <c r="R65" s="216"/>
    </row>
    <row r="66" spans="1:23" s="70" customFormat="1" x14ac:dyDescent="0.2">
      <c r="A66" s="548"/>
      <c r="B66" s="549"/>
      <c r="C66" s="551"/>
      <c r="D66" s="551"/>
      <c r="E66" s="32" t="s">
        <v>17</v>
      </c>
      <c r="F66" s="31">
        <v>10</v>
      </c>
      <c r="G66" s="31">
        <v>12</v>
      </c>
      <c r="H66" s="94">
        <f>ROUND(G66*Lapas1!$A$1,1)</f>
        <v>13.1</v>
      </c>
      <c r="I66" s="94">
        <f>ROUND(H66*Lapas1!$A$2,1)</f>
        <v>14.8</v>
      </c>
      <c r="J66" s="26"/>
      <c r="K66" s="26"/>
      <c r="L66" s="43"/>
      <c r="M66" s="43"/>
      <c r="N66" s="24"/>
      <c r="O66" s="220"/>
      <c r="P66" s="220"/>
      <c r="Q66" s="220"/>
      <c r="R66" s="216"/>
    </row>
    <row r="67" spans="1:23" s="70" customFormat="1" x14ac:dyDescent="0.2">
      <c r="A67" s="548"/>
      <c r="B67" s="549"/>
      <c r="C67" s="551"/>
      <c r="D67" s="551"/>
      <c r="E67" s="29" t="s">
        <v>22</v>
      </c>
      <c r="F67" s="17">
        <f>SUM(F65:F66)</f>
        <v>159.80000000000001</v>
      </c>
      <c r="G67" s="28">
        <f>SUM(G65:G66)</f>
        <v>194.5</v>
      </c>
      <c r="H67" s="17">
        <f>SUM(H65:H66)</f>
        <v>212</v>
      </c>
      <c r="I67" s="17">
        <f>SUM(I65:I66)</f>
        <v>239.60000000000002</v>
      </c>
      <c r="J67" s="26"/>
      <c r="K67" s="26"/>
      <c r="L67" s="43"/>
      <c r="M67" s="43"/>
      <c r="N67" s="24"/>
      <c r="O67" s="220"/>
      <c r="P67" s="220"/>
      <c r="Q67" s="220"/>
      <c r="R67" s="42">
        <f>(G67-F67)/F67</f>
        <v>0.21714643304130155</v>
      </c>
    </row>
    <row r="68" spans="1:23" s="70" customFormat="1" ht="25.5" x14ac:dyDescent="0.2">
      <c r="A68" s="548" t="s">
        <v>10</v>
      </c>
      <c r="B68" s="549" t="s">
        <v>0</v>
      </c>
      <c r="C68" s="551" t="s">
        <v>24</v>
      </c>
      <c r="D68" s="551" t="s">
        <v>21</v>
      </c>
      <c r="E68" s="465" t="s">
        <v>549</v>
      </c>
      <c r="F68" s="465"/>
      <c r="G68" s="465"/>
      <c r="H68" s="465"/>
      <c r="I68" s="465"/>
      <c r="J68" s="450" t="s">
        <v>19</v>
      </c>
      <c r="K68" s="33" t="s">
        <v>548</v>
      </c>
      <c r="L68" s="61" t="s">
        <v>547</v>
      </c>
      <c r="M68" s="33" t="s">
        <v>12</v>
      </c>
      <c r="N68" s="225">
        <v>820</v>
      </c>
      <c r="O68" s="225">
        <v>840</v>
      </c>
      <c r="P68" s="225">
        <v>850</v>
      </c>
      <c r="Q68" s="225" t="s">
        <v>19</v>
      </c>
      <c r="R68" s="216"/>
      <c r="S68" s="151"/>
      <c r="T68" s="151"/>
      <c r="U68" s="151"/>
      <c r="V68" s="151"/>
      <c r="W68" s="151"/>
    </row>
    <row r="69" spans="1:23" s="70" customFormat="1" x14ac:dyDescent="0.2">
      <c r="A69" s="548"/>
      <c r="B69" s="549"/>
      <c r="C69" s="551"/>
      <c r="D69" s="551"/>
      <c r="E69" s="465"/>
      <c r="F69" s="465"/>
      <c r="G69" s="465"/>
      <c r="H69" s="465"/>
      <c r="I69" s="465"/>
      <c r="J69" s="450"/>
      <c r="K69" s="33" t="s">
        <v>546</v>
      </c>
      <c r="L69" s="61" t="s">
        <v>545</v>
      </c>
      <c r="M69" s="33" t="s">
        <v>544</v>
      </c>
      <c r="N69" s="145">
        <v>57000</v>
      </c>
      <c r="O69" s="145">
        <v>59000</v>
      </c>
      <c r="P69" s="145">
        <v>60000</v>
      </c>
      <c r="Q69" s="145" t="s">
        <v>19</v>
      </c>
      <c r="R69" s="216"/>
      <c r="S69" s="559"/>
      <c r="T69" s="560"/>
      <c r="U69" s="560"/>
      <c r="V69" s="151"/>
      <c r="W69" s="151"/>
    </row>
    <row r="70" spans="1:23" s="70" customFormat="1" x14ac:dyDescent="0.2">
      <c r="A70" s="548"/>
      <c r="B70" s="549"/>
      <c r="C70" s="551"/>
      <c r="D70" s="551"/>
      <c r="E70" s="465"/>
      <c r="F70" s="465"/>
      <c r="G70" s="465"/>
      <c r="H70" s="465"/>
      <c r="I70" s="465"/>
      <c r="J70" s="450"/>
      <c r="K70" s="33" t="s">
        <v>543</v>
      </c>
      <c r="L70" s="61" t="s">
        <v>542</v>
      </c>
      <c r="M70" s="33" t="s">
        <v>12</v>
      </c>
      <c r="N70" s="145">
        <v>14100</v>
      </c>
      <c r="O70" s="145">
        <v>14200</v>
      </c>
      <c r="P70" s="145">
        <v>15600</v>
      </c>
      <c r="Q70" s="145" t="s">
        <v>19</v>
      </c>
      <c r="R70" s="216"/>
      <c r="S70" s="559"/>
      <c r="T70" s="560"/>
      <c r="U70" s="560"/>
      <c r="V70" s="151"/>
      <c r="W70" s="151"/>
    </row>
    <row r="71" spans="1:23" s="70" customFormat="1" ht="25.5" x14ac:dyDescent="0.2">
      <c r="A71" s="548"/>
      <c r="B71" s="549"/>
      <c r="C71" s="551"/>
      <c r="D71" s="551"/>
      <c r="E71" s="465"/>
      <c r="F71" s="465"/>
      <c r="G71" s="465"/>
      <c r="H71" s="465"/>
      <c r="I71" s="465"/>
      <c r="J71" s="450"/>
      <c r="K71" s="33" t="s">
        <v>541</v>
      </c>
      <c r="L71" s="61" t="s">
        <v>540</v>
      </c>
      <c r="M71" s="33" t="s">
        <v>12</v>
      </c>
      <c r="N71" s="225">
        <v>3</v>
      </c>
      <c r="O71" s="225">
        <v>3</v>
      </c>
      <c r="P71" s="225">
        <v>3</v>
      </c>
      <c r="Q71" s="225" t="s">
        <v>19</v>
      </c>
      <c r="R71" s="216"/>
    </row>
    <row r="72" spans="1:23" s="70" customFormat="1" x14ac:dyDescent="0.2">
      <c r="A72" s="548"/>
      <c r="B72" s="549"/>
      <c r="C72" s="551"/>
      <c r="D72" s="551"/>
      <c r="E72" s="32" t="s">
        <v>14</v>
      </c>
      <c r="F72" s="94">
        <v>681.8</v>
      </c>
      <c r="G72" s="94">
        <v>737.1</v>
      </c>
      <c r="H72" s="94">
        <f>ROUND(G72*Lapas1!$A$1,1)</f>
        <v>803.4</v>
      </c>
      <c r="I72" s="94">
        <f>ROUND(H72*Lapas1!$A$2,1)</f>
        <v>907.8</v>
      </c>
      <c r="J72" s="26"/>
      <c r="K72" s="26"/>
      <c r="L72" s="43"/>
      <c r="M72" s="43"/>
      <c r="N72" s="24"/>
      <c r="O72" s="220"/>
      <c r="P72" s="220"/>
      <c r="Q72" s="220"/>
      <c r="R72" s="216"/>
    </row>
    <row r="73" spans="1:23" s="70" customFormat="1" x14ac:dyDescent="0.2">
      <c r="A73" s="548"/>
      <c r="B73" s="549"/>
      <c r="C73" s="551"/>
      <c r="D73" s="551"/>
      <c r="E73" s="32" t="s">
        <v>17</v>
      </c>
      <c r="F73" s="94">
        <v>100</v>
      </c>
      <c r="G73" s="94">
        <v>125</v>
      </c>
      <c r="H73" s="94">
        <f>ROUND(G73*Lapas1!$A$1,1)</f>
        <v>136.30000000000001</v>
      </c>
      <c r="I73" s="94">
        <f>ROUND(H73*Lapas1!$A$2,1)</f>
        <v>154</v>
      </c>
      <c r="J73" s="26"/>
      <c r="K73" s="26"/>
      <c r="L73" s="43"/>
      <c r="M73" s="43"/>
      <c r="N73" s="24"/>
      <c r="O73" s="220"/>
      <c r="P73" s="220"/>
      <c r="Q73" s="220"/>
      <c r="R73" s="216"/>
    </row>
    <row r="74" spans="1:23" s="70" customFormat="1" x14ac:dyDescent="0.2">
      <c r="A74" s="548"/>
      <c r="B74" s="549"/>
      <c r="C74" s="551"/>
      <c r="D74" s="551"/>
      <c r="E74" s="29" t="s">
        <v>22</v>
      </c>
      <c r="F74" s="17">
        <f>SUM(F72:F73)</f>
        <v>781.8</v>
      </c>
      <c r="G74" s="28">
        <f>SUM(G72:G73)</f>
        <v>862.1</v>
      </c>
      <c r="H74" s="17">
        <f>SUM(H72:H73)</f>
        <v>939.7</v>
      </c>
      <c r="I74" s="17">
        <f>SUM(I72:I73)</f>
        <v>1061.8</v>
      </c>
      <c r="J74" s="26"/>
      <c r="K74" s="26"/>
      <c r="L74" s="43"/>
      <c r="M74" s="43"/>
      <c r="N74" s="24"/>
      <c r="O74" s="220"/>
      <c r="P74" s="220"/>
      <c r="Q74" s="220"/>
      <c r="R74" s="42">
        <f>(G74-F74)/F74</f>
        <v>0.10271169096955753</v>
      </c>
    </row>
    <row r="75" spans="1:23" s="70" customFormat="1" ht="13.5" x14ac:dyDescent="0.2">
      <c r="A75" s="548" t="s">
        <v>10</v>
      </c>
      <c r="B75" s="549" t="s">
        <v>0</v>
      </c>
      <c r="C75" s="551" t="s">
        <v>25</v>
      </c>
      <c r="D75" s="551" t="s">
        <v>21</v>
      </c>
      <c r="E75" s="465" t="s">
        <v>539</v>
      </c>
      <c r="F75" s="465"/>
      <c r="G75" s="465"/>
      <c r="H75" s="465"/>
      <c r="I75" s="465"/>
      <c r="J75" s="143" t="s">
        <v>19</v>
      </c>
      <c r="K75" s="33" t="s">
        <v>538</v>
      </c>
      <c r="L75" s="61" t="s">
        <v>537</v>
      </c>
      <c r="M75" s="33" t="s">
        <v>502</v>
      </c>
      <c r="N75" s="225">
        <v>57</v>
      </c>
      <c r="O75" s="225">
        <v>57</v>
      </c>
      <c r="P75" s="225">
        <v>57</v>
      </c>
      <c r="Q75" s="225" t="s">
        <v>19</v>
      </c>
      <c r="R75" s="216"/>
      <c r="S75" s="558"/>
      <c r="T75" s="558"/>
      <c r="U75" s="558"/>
      <c r="V75" s="558"/>
      <c r="W75" s="558"/>
    </row>
    <row r="76" spans="1:23" s="70" customFormat="1" x14ac:dyDescent="0.2">
      <c r="A76" s="548"/>
      <c r="B76" s="549"/>
      <c r="C76" s="551"/>
      <c r="D76" s="551"/>
      <c r="E76" s="32" t="s">
        <v>14</v>
      </c>
      <c r="F76" s="94">
        <v>40</v>
      </c>
      <c r="G76" s="94">
        <v>45</v>
      </c>
      <c r="H76" s="94">
        <f>ROUND(G76*Lapas1!$A$1,1)</f>
        <v>49.1</v>
      </c>
      <c r="I76" s="94">
        <f>ROUND(H76*Lapas1!$A$2,1)</f>
        <v>55.5</v>
      </c>
      <c r="J76" s="26"/>
      <c r="K76" s="26"/>
      <c r="L76" s="43"/>
      <c r="M76" s="43"/>
      <c r="N76" s="24"/>
      <c r="O76" s="24"/>
      <c r="P76" s="220"/>
      <c r="Q76" s="220"/>
      <c r="R76" s="216"/>
    </row>
    <row r="77" spans="1:23" s="70" customFormat="1" x14ac:dyDescent="0.2">
      <c r="A77" s="548"/>
      <c r="B77" s="549"/>
      <c r="C77" s="551"/>
      <c r="D77" s="551"/>
      <c r="E77" s="29" t="s">
        <v>22</v>
      </c>
      <c r="F77" s="83">
        <f>SUM(F76:F76)</f>
        <v>40</v>
      </c>
      <c r="G77" s="336">
        <f>SUM(G76:G76)</f>
        <v>45</v>
      </c>
      <c r="H77" s="83">
        <f>SUM(H76:H76)</f>
        <v>49.1</v>
      </c>
      <c r="I77" s="83">
        <f>SUM(I76:I76)</f>
        <v>55.5</v>
      </c>
      <c r="J77" s="26"/>
      <c r="K77" s="26"/>
      <c r="L77" s="43"/>
      <c r="M77" s="43"/>
      <c r="N77" s="24"/>
      <c r="O77" s="24"/>
      <c r="P77" s="220"/>
      <c r="Q77" s="220"/>
      <c r="R77" s="42">
        <f>(G77-F77)/F77</f>
        <v>0.125</v>
      </c>
    </row>
    <row r="78" spans="1:23" s="70" customFormat="1" x14ac:dyDescent="0.2">
      <c r="A78" s="152" t="s">
        <v>10</v>
      </c>
      <c r="B78" s="154" t="s">
        <v>0</v>
      </c>
      <c r="C78" s="74"/>
      <c r="D78" s="74"/>
      <c r="E78" s="41" t="s">
        <v>2</v>
      </c>
      <c r="F78" s="39">
        <f>F74+F77+F67+F60</f>
        <v>1975.5439999999999</v>
      </c>
      <c r="G78" s="40">
        <f t="shared" ref="G78:I78" si="1">G74+G77+G67+G60</f>
        <v>2183.808</v>
      </c>
      <c r="H78" s="39">
        <f t="shared" si="1"/>
        <v>2380.4</v>
      </c>
      <c r="I78" s="39">
        <f t="shared" si="1"/>
        <v>2689.8</v>
      </c>
      <c r="J78" s="154"/>
      <c r="K78" s="85"/>
      <c r="L78" s="85"/>
      <c r="M78" s="85"/>
      <c r="N78" s="84"/>
      <c r="O78" s="84"/>
      <c r="P78" s="84"/>
      <c r="Q78" s="84"/>
      <c r="R78" s="216"/>
    </row>
    <row r="79" spans="1:23" s="70" customFormat="1" x14ac:dyDescent="0.2">
      <c r="A79" s="152" t="s">
        <v>10</v>
      </c>
      <c r="B79" s="60"/>
      <c r="C79" s="60"/>
      <c r="D79" s="60"/>
      <c r="E79" s="37" t="s">
        <v>516</v>
      </c>
      <c r="F79" s="35">
        <f>F78</f>
        <v>1975.5439999999999</v>
      </c>
      <c r="G79" s="36">
        <f>G78</f>
        <v>2183.808</v>
      </c>
      <c r="H79" s="35">
        <f>H78</f>
        <v>2380.4</v>
      </c>
      <c r="I79" s="35">
        <f>I78</f>
        <v>2689.8</v>
      </c>
      <c r="J79" s="60"/>
      <c r="K79" s="223"/>
      <c r="L79" s="223"/>
      <c r="M79" s="223"/>
      <c r="N79" s="223"/>
      <c r="O79" s="223"/>
      <c r="P79" s="223"/>
      <c r="Q79" s="223"/>
      <c r="R79" s="216"/>
    </row>
    <row r="80" spans="1:23" s="70" customFormat="1" x14ac:dyDescent="0.2">
      <c r="A80" s="152" t="s">
        <v>24</v>
      </c>
      <c r="B80" s="75"/>
      <c r="C80" s="75"/>
      <c r="D80" s="75"/>
      <c r="E80" s="472" t="s">
        <v>536</v>
      </c>
      <c r="F80" s="472"/>
      <c r="G80" s="472"/>
      <c r="H80" s="472"/>
      <c r="I80" s="472"/>
      <c r="J80" s="472"/>
      <c r="K80" s="472"/>
      <c r="L80" s="472"/>
      <c r="M80" s="472"/>
      <c r="N80" s="472"/>
      <c r="O80" s="472"/>
      <c r="P80" s="472"/>
      <c r="Q80" s="472"/>
      <c r="R80" s="216"/>
    </row>
    <row r="81" spans="1:23" s="70" customFormat="1" ht="25.5" x14ac:dyDescent="0.2">
      <c r="A81" s="152" t="s">
        <v>24</v>
      </c>
      <c r="B81" s="154" t="s">
        <v>0</v>
      </c>
      <c r="C81" s="153"/>
      <c r="D81" s="153" t="s">
        <v>18</v>
      </c>
      <c r="E81" s="469" t="s">
        <v>535</v>
      </c>
      <c r="F81" s="469"/>
      <c r="G81" s="469"/>
      <c r="H81" s="469"/>
      <c r="I81" s="469"/>
      <c r="J81" s="146" t="s">
        <v>856</v>
      </c>
      <c r="K81" s="34" t="s">
        <v>534</v>
      </c>
      <c r="L81" s="34" t="s">
        <v>533</v>
      </c>
      <c r="M81" s="34" t="s">
        <v>11</v>
      </c>
      <c r="N81" s="148">
        <v>4</v>
      </c>
      <c r="O81" s="148">
        <v>4</v>
      </c>
      <c r="P81" s="148">
        <v>4</v>
      </c>
      <c r="Q81" s="148" t="s">
        <v>857</v>
      </c>
      <c r="R81" s="216"/>
    </row>
    <row r="82" spans="1:23" s="70" customFormat="1" ht="13.5" x14ac:dyDescent="0.2">
      <c r="A82" s="548" t="s">
        <v>24</v>
      </c>
      <c r="B82" s="549" t="s">
        <v>0</v>
      </c>
      <c r="C82" s="552" t="s">
        <v>0</v>
      </c>
      <c r="D82" s="552" t="s">
        <v>78</v>
      </c>
      <c r="E82" s="465" t="s">
        <v>898</v>
      </c>
      <c r="F82" s="465"/>
      <c r="G82" s="465"/>
      <c r="H82" s="465"/>
      <c r="I82" s="465"/>
      <c r="J82" s="141" t="s">
        <v>532</v>
      </c>
      <c r="K82" s="33" t="s">
        <v>531</v>
      </c>
      <c r="L82" s="61" t="s">
        <v>530</v>
      </c>
      <c r="M82" s="33" t="s">
        <v>12</v>
      </c>
      <c r="N82" s="145">
        <v>45</v>
      </c>
      <c r="O82" s="145">
        <v>45</v>
      </c>
      <c r="P82" s="145">
        <v>45</v>
      </c>
      <c r="Q82" s="145" t="s">
        <v>604</v>
      </c>
      <c r="R82" s="216"/>
      <c r="S82" s="558"/>
      <c r="T82" s="558"/>
      <c r="U82" s="558"/>
      <c r="V82" s="558"/>
      <c r="W82" s="558"/>
    </row>
    <row r="83" spans="1:23" s="70" customFormat="1" x14ac:dyDescent="0.2">
      <c r="A83" s="548"/>
      <c r="B83" s="549"/>
      <c r="C83" s="552"/>
      <c r="D83" s="552"/>
      <c r="E83" s="61" t="s">
        <v>14</v>
      </c>
      <c r="F83" s="31">
        <v>41.2</v>
      </c>
      <c r="G83" s="31">
        <v>45</v>
      </c>
      <c r="H83" s="94">
        <f>ROUND(G83*Lapas1!$A$1,1)</f>
        <v>49.1</v>
      </c>
      <c r="I83" s="94">
        <f>ROUND(H83*Lapas1!$A$2,1)</f>
        <v>55.5</v>
      </c>
      <c r="J83" s="26"/>
      <c r="K83" s="26"/>
      <c r="L83" s="43"/>
      <c r="M83" s="43"/>
      <c r="N83" s="24"/>
      <c r="O83" s="220"/>
      <c r="P83" s="220"/>
      <c r="Q83" s="220"/>
      <c r="R83" s="216"/>
    </row>
    <row r="84" spans="1:23" s="70" customFormat="1" x14ac:dyDescent="0.2">
      <c r="A84" s="548"/>
      <c r="B84" s="549"/>
      <c r="C84" s="552"/>
      <c r="D84" s="552"/>
      <c r="E84" s="82" t="s">
        <v>22</v>
      </c>
      <c r="F84" s="17">
        <f>SUM(F83:F83)</f>
        <v>41.2</v>
      </c>
      <c r="G84" s="28">
        <f>SUM(G83:G83)</f>
        <v>45</v>
      </c>
      <c r="H84" s="17">
        <f>SUM(H83:H83)</f>
        <v>49.1</v>
      </c>
      <c r="I84" s="17">
        <f>SUM(I83:I83)</f>
        <v>55.5</v>
      </c>
      <c r="J84" s="26"/>
      <c r="K84" s="26"/>
      <c r="L84" s="43"/>
      <c r="M84" s="43"/>
      <c r="N84" s="24"/>
      <c r="O84" s="220"/>
      <c r="P84" s="220"/>
      <c r="Q84" s="220"/>
      <c r="R84" s="42">
        <f>(G84-F84)/F84</f>
        <v>9.2233009708737795E-2</v>
      </c>
    </row>
    <row r="85" spans="1:23" s="70" customFormat="1" ht="25.5" x14ac:dyDescent="0.2">
      <c r="A85" s="548" t="s">
        <v>24</v>
      </c>
      <c r="B85" s="549" t="s">
        <v>0</v>
      </c>
      <c r="C85" s="550" t="s">
        <v>10</v>
      </c>
      <c r="D85" s="550" t="s">
        <v>21</v>
      </c>
      <c r="E85" s="465" t="s">
        <v>529</v>
      </c>
      <c r="F85" s="465"/>
      <c r="G85" s="465"/>
      <c r="H85" s="465"/>
      <c r="I85" s="465"/>
      <c r="J85" s="143" t="s">
        <v>19</v>
      </c>
      <c r="K85" s="33" t="s">
        <v>528</v>
      </c>
      <c r="L85" s="61" t="s">
        <v>527</v>
      </c>
      <c r="M85" s="33" t="s">
        <v>12</v>
      </c>
      <c r="N85" s="145">
        <v>1</v>
      </c>
      <c r="O85" s="145">
        <v>2</v>
      </c>
      <c r="P85" s="145">
        <v>2</v>
      </c>
      <c r="Q85" s="145" t="s">
        <v>19</v>
      </c>
      <c r="R85" s="216"/>
      <c r="S85" s="356"/>
      <c r="T85" s="356"/>
      <c r="U85" s="356"/>
      <c r="V85" s="356"/>
      <c r="W85" s="356"/>
    </row>
    <row r="86" spans="1:23" s="70" customFormat="1" x14ac:dyDescent="0.2">
      <c r="A86" s="548"/>
      <c r="B86" s="549"/>
      <c r="C86" s="550"/>
      <c r="D86" s="550"/>
      <c r="E86" s="61" t="s">
        <v>14</v>
      </c>
      <c r="F86" s="31">
        <v>10</v>
      </c>
      <c r="G86" s="31">
        <v>10</v>
      </c>
      <c r="H86" s="94">
        <f>ROUND(G86*Lapas1!$A$1,1)</f>
        <v>10.9</v>
      </c>
      <c r="I86" s="94">
        <f>ROUND(H86*Lapas1!$A$2,1)</f>
        <v>12.3</v>
      </c>
      <c r="J86" s="26"/>
      <c r="K86" s="26"/>
      <c r="L86" s="43"/>
      <c r="M86" s="43"/>
      <c r="N86" s="24"/>
      <c r="O86" s="220"/>
      <c r="P86" s="220"/>
      <c r="Q86" s="220"/>
      <c r="R86" s="216"/>
    </row>
    <row r="87" spans="1:23" s="70" customFormat="1" x14ac:dyDescent="0.2">
      <c r="A87" s="548"/>
      <c r="B87" s="549"/>
      <c r="C87" s="550"/>
      <c r="D87" s="550"/>
      <c r="E87" s="82" t="s">
        <v>22</v>
      </c>
      <c r="F87" s="17">
        <f>SUM(F86:F86)</f>
        <v>10</v>
      </c>
      <c r="G87" s="28">
        <f>SUM(G86:G86)</f>
        <v>10</v>
      </c>
      <c r="H87" s="17">
        <f>SUM(H86:H86)</f>
        <v>10.9</v>
      </c>
      <c r="I87" s="17">
        <f>SUM(I86:I86)</f>
        <v>12.3</v>
      </c>
      <c r="J87" s="26"/>
      <c r="K87" s="26"/>
      <c r="L87" s="43"/>
      <c r="M87" s="43"/>
      <c r="N87" s="24"/>
      <c r="O87" s="220"/>
      <c r="P87" s="220"/>
      <c r="Q87" s="220"/>
      <c r="R87" s="42">
        <f>(G87-F87)/F87</f>
        <v>0</v>
      </c>
    </row>
    <row r="88" spans="1:23" s="70" customFormat="1" ht="13.5" x14ac:dyDescent="0.2">
      <c r="A88" s="548" t="s">
        <v>24</v>
      </c>
      <c r="B88" s="549" t="s">
        <v>0</v>
      </c>
      <c r="C88" s="550" t="s">
        <v>24</v>
      </c>
      <c r="D88" s="550" t="s">
        <v>21</v>
      </c>
      <c r="E88" s="465" t="s">
        <v>526</v>
      </c>
      <c r="F88" s="465"/>
      <c r="G88" s="465"/>
      <c r="H88" s="465"/>
      <c r="I88" s="465"/>
      <c r="J88" s="143" t="s">
        <v>19</v>
      </c>
      <c r="K88" s="33" t="s">
        <v>525</v>
      </c>
      <c r="L88" s="61" t="s">
        <v>452</v>
      </c>
      <c r="M88" s="33" t="s">
        <v>12</v>
      </c>
      <c r="N88" s="145">
        <v>17</v>
      </c>
      <c r="O88" s="145">
        <v>17</v>
      </c>
      <c r="P88" s="145">
        <v>17</v>
      </c>
      <c r="Q88" s="145" t="s">
        <v>19</v>
      </c>
      <c r="R88" s="216"/>
      <c r="S88" s="558"/>
      <c r="T88" s="558"/>
      <c r="U88" s="558"/>
      <c r="V88" s="558"/>
      <c r="W88" s="558"/>
    </row>
    <row r="89" spans="1:23" s="70" customFormat="1" x14ac:dyDescent="0.2">
      <c r="A89" s="548"/>
      <c r="B89" s="549"/>
      <c r="C89" s="550"/>
      <c r="D89" s="550"/>
      <c r="E89" s="61" t="s">
        <v>14</v>
      </c>
      <c r="F89" s="31">
        <v>100</v>
      </c>
      <c r="G89" s="31">
        <v>120</v>
      </c>
      <c r="H89" s="94">
        <f>ROUND(G89*Lapas1!$A$1,1)</f>
        <v>130.80000000000001</v>
      </c>
      <c r="I89" s="94">
        <f>ROUND(H89*Lapas1!$A$2,1)</f>
        <v>147.80000000000001</v>
      </c>
      <c r="J89" s="26"/>
      <c r="K89" s="26"/>
      <c r="L89" s="43"/>
      <c r="M89" s="43"/>
      <c r="N89" s="24"/>
      <c r="O89" s="220"/>
      <c r="P89" s="220"/>
      <c r="Q89" s="220"/>
      <c r="R89" s="216"/>
    </row>
    <row r="90" spans="1:23" s="70" customFormat="1" x14ac:dyDescent="0.2">
      <c r="A90" s="548"/>
      <c r="B90" s="549"/>
      <c r="C90" s="550"/>
      <c r="D90" s="550"/>
      <c r="E90" s="82" t="s">
        <v>22</v>
      </c>
      <c r="F90" s="17">
        <f>SUM(F89:F89)</f>
        <v>100</v>
      </c>
      <c r="G90" s="28">
        <f>SUM(G89:G89)</f>
        <v>120</v>
      </c>
      <c r="H90" s="17">
        <f>SUM(H89:H89)</f>
        <v>130.80000000000001</v>
      </c>
      <c r="I90" s="17">
        <f>SUM(I89:I89)</f>
        <v>147.80000000000001</v>
      </c>
      <c r="J90" s="26"/>
      <c r="K90" s="26"/>
      <c r="L90" s="43"/>
      <c r="M90" s="43"/>
      <c r="N90" s="24"/>
      <c r="O90" s="220"/>
      <c r="P90" s="220"/>
      <c r="Q90" s="220"/>
      <c r="R90" s="42">
        <f>(G90-F90)/F90</f>
        <v>0.2</v>
      </c>
    </row>
    <row r="91" spans="1:23" s="70" customFormat="1" ht="13.5" x14ac:dyDescent="0.2">
      <c r="A91" s="548" t="s">
        <v>24</v>
      </c>
      <c r="B91" s="549" t="s">
        <v>0</v>
      </c>
      <c r="C91" s="550" t="s">
        <v>25</v>
      </c>
      <c r="D91" s="550" t="s">
        <v>78</v>
      </c>
      <c r="E91" s="465" t="s">
        <v>524</v>
      </c>
      <c r="F91" s="465"/>
      <c r="G91" s="465"/>
      <c r="H91" s="465"/>
      <c r="I91" s="465"/>
      <c r="J91" s="141" t="s">
        <v>520</v>
      </c>
      <c r="K91" s="33" t="s">
        <v>523</v>
      </c>
      <c r="L91" s="61" t="s">
        <v>522</v>
      </c>
      <c r="M91" s="33" t="s">
        <v>12</v>
      </c>
      <c r="N91" s="145">
        <v>23</v>
      </c>
      <c r="O91" s="145">
        <v>23</v>
      </c>
      <c r="P91" s="145">
        <v>23</v>
      </c>
      <c r="Q91" s="145" t="s">
        <v>604</v>
      </c>
      <c r="R91" s="216"/>
      <c r="S91" s="558"/>
      <c r="T91" s="558"/>
      <c r="U91" s="558"/>
      <c r="V91" s="558"/>
      <c r="W91" s="558"/>
    </row>
    <row r="92" spans="1:23" s="70" customFormat="1" x14ac:dyDescent="0.2">
      <c r="A92" s="548"/>
      <c r="B92" s="549"/>
      <c r="C92" s="550"/>
      <c r="D92" s="550"/>
      <c r="E92" s="61" t="s">
        <v>14</v>
      </c>
      <c r="F92" s="31">
        <v>47</v>
      </c>
      <c r="G92" s="31">
        <v>55</v>
      </c>
      <c r="H92" s="94">
        <f>ROUND(G92*Lapas1!$A$1,1)</f>
        <v>60</v>
      </c>
      <c r="I92" s="94">
        <f>ROUND(H92*Lapas1!$A$2,1)</f>
        <v>67.8</v>
      </c>
      <c r="J92" s="26"/>
      <c r="K92" s="26"/>
      <c r="L92" s="43"/>
      <c r="M92" s="43"/>
      <c r="N92" s="24"/>
      <c r="O92" s="220"/>
      <c r="P92" s="220"/>
      <c r="Q92" s="220"/>
      <c r="R92" s="216"/>
    </row>
    <row r="93" spans="1:23" s="70" customFormat="1" x14ac:dyDescent="0.2">
      <c r="A93" s="548"/>
      <c r="B93" s="549"/>
      <c r="C93" s="550"/>
      <c r="D93" s="550"/>
      <c r="E93" s="82" t="s">
        <v>22</v>
      </c>
      <c r="F93" s="17">
        <f>SUM(F92:F92)</f>
        <v>47</v>
      </c>
      <c r="G93" s="28">
        <f>SUM(G92:G92)</f>
        <v>55</v>
      </c>
      <c r="H93" s="17">
        <f>SUM(H92:H92)</f>
        <v>60</v>
      </c>
      <c r="I93" s="17">
        <f>SUM(I92:I92)</f>
        <v>67.8</v>
      </c>
      <c r="J93" s="26"/>
      <c r="K93" s="26"/>
      <c r="L93" s="43"/>
      <c r="M93" s="43"/>
      <c r="N93" s="24"/>
      <c r="O93" s="220"/>
      <c r="P93" s="220"/>
      <c r="Q93" s="220"/>
      <c r="R93" s="42">
        <f>(G93-F93)/F93</f>
        <v>0.1702127659574468</v>
      </c>
    </row>
    <row r="94" spans="1:23" s="70" customFormat="1" ht="13.5" x14ac:dyDescent="0.2">
      <c r="A94" s="548" t="s">
        <v>24</v>
      </c>
      <c r="B94" s="549" t="s">
        <v>0</v>
      </c>
      <c r="C94" s="550" t="s">
        <v>26</v>
      </c>
      <c r="D94" s="550" t="s">
        <v>21</v>
      </c>
      <c r="E94" s="490" t="s">
        <v>822</v>
      </c>
      <c r="F94" s="490"/>
      <c r="G94" s="490"/>
      <c r="H94" s="490"/>
      <c r="I94" s="490"/>
      <c r="J94" s="143" t="s">
        <v>858</v>
      </c>
      <c r="K94" s="33" t="s">
        <v>519</v>
      </c>
      <c r="L94" s="61" t="s">
        <v>823</v>
      </c>
      <c r="M94" s="33" t="s">
        <v>12</v>
      </c>
      <c r="N94" s="145">
        <v>6</v>
      </c>
      <c r="O94" s="145">
        <v>6</v>
      </c>
      <c r="P94" s="145">
        <v>6</v>
      </c>
      <c r="Q94" s="145" t="s">
        <v>859</v>
      </c>
      <c r="R94" s="216"/>
    </row>
    <row r="95" spans="1:23" s="70" customFormat="1" x14ac:dyDescent="0.2">
      <c r="A95" s="548"/>
      <c r="B95" s="549"/>
      <c r="C95" s="550"/>
      <c r="D95" s="550"/>
      <c r="E95" s="61" t="s">
        <v>14</v>
      </c>
      <c r="F95" s="31">
        <v>80</v>
      </c>
      <c r="G95" s="31">
        <v>90</v>
      </c>
      <c r="H95" s="94">
        <f>ROUND(G95*Lapas1!$A$1,1)</f>
        <v>98.1</v>
      </c>
      <c r="I95" s="94">
        <f>ROUND(H95*Lapas1!$A$2,1)</f>
        <v>110.9</v>
      </c>
      <c r="J95" s="26"/>
      <c r="K95" s="26"/>
      <c r="L95" s="43"/>
      <c r="M95" s="43"/>
      <c r="N95" s="24"/>
      <c r="O95" s="24"/>
      <c r="P95" s="220"/>
      <c r="Q95" s="220"/>
      <c r="R95" s="216"/>
    </row>
    <row r="96" spans="1:23" s="70" customFormat="1" x14ac:dyDescent="0.2">
      <c r="A96" s="548"/>
      <c r="B96" s="549"/>
      <c r="C96" s="550"/>
      <c r="D96" s="550"/>
      <c r="E96" s="82" t="s">
        <v>22</v>
      </c>
      <c r="F96" s="83">
        <f>SUM(F95:F95)</f>
        <v>80</v>
      </c>
      <c r="G96" s="336">
        <f>SUM(G95:G95)</f>
        <v>90</v>
      </c>
      <c r="H96" s="83">
        <f>SUM(H95:H95)</f>
        <v>98.1</v>
      </c>
      <c r="I96" s="83">
        <f>SUM(I95:I95)</f>
        <v>110.9</v>
      </c>
      <c r="J96" s="26"/>
      <c r="K96" s="26"/>
      <c r="L96" s="43"/>
      <c r="M96" s="43"/>
      <c r="N96" s="24"/>
      <c r="O96" s="24"/>
      <c r="P96" s="220"/>
      <c r="Q96" s="220"/>
      <c r="R96" s="42">
        <f>(G96-F96)/F96</f>
        <v>0.125</v>
      </c>
    </row>
    <row r="97" spans="1:18" s="70" customFormat="1" x14ac:dyDescent="0.2">
      <c r="A97" s="152" t="s">
        <v>24</v>
      </c>
      <c r="B97" s="154" t="s">
        <v>0</v>
      </c>
      <c r="C97" s="74"/>
      <c r="D97" s="74" t="s">
        <v>18</v>
      </c>
      <c r="E97" s="41" t="s">
        <v>2</v>
      </c>
      <c r="F97" s="39">
        <f>F84+F87+F90+F93+F96</f>
        <v>278.2</v>
      </c>
      <c r="G97" s="40">
        <f>G84+G87+G90+G93+G96</f>
        <v>320</v>
      </c>
      <c r="H97" s="39">
        <f>H84+H87+H90+H93+H96</f>
        <v>348.9</v>
      </c>
      <c r="I97" s="39">
        <f>I84+I87+I90+I93+I96</f>
        <v>394.30000000000007</v>
      </c>
      <c r="J97" s="154"/>
      <c r="K97" s="84"/>
      <c r="L97" s="84"/>
      <c r="M97" s="84"/>
      <c r="N97" s="84"/>
      <c r="O97" s="84"/>
      <c r="P97" s="84"/>
      <c r="Q97" s="84"/>
      <c r="R97" s="216"/>
    </row>
    <row r="98" spans="1:18" s="70" customFormat="1" x14ac:dyDescent="0.2">
      <c r="A98" s="227" t="s">
        <v>24</v>
      </c>
      <c r="B98" s="60"/>
      <c r="C98" s="60"/>
      <c r="D98" s="60"/>
      <c r="E98" s="37" t="s">
        <v>239</v>
      </c>
      <c r="F98" s="35">
        <f>F97</f>
        <v>278.2</v>
      </c>
      <c r="G98" s="36">
        <f>G97</f>
        <v>320</v>
      </c>
      <c r="H98" s="35">
        <f>H97</f>
        <v>348.9</v>
      </c>
      <c r="I98" s="35">
        <f>I97</f>
        <v>394.30000000000007</v>
      </c>
      <c r="J98" s="60"/>
      <c r="K98" s="223"/>
      <c r="L98" s="223"/>
      <c r="M98" s="223"/>
      <c r="N98" s="223"/>
      <c r="O98" s="223"/>
      <c r="P98" s="223"/>
      <c r="Q98" s="223"/>
      <c r="R98" s="216"/>
    </row>
    <row r="99" spans="1:18" s="70" customFormat="1" x14ac:dyDescent="0.2">
      <c r="A99" s="152" t="s">
        <v>25</v>
      </c>
      <c r="B99" s="75"/>
      <c r="C99" s="75"/>
      <c r="D99" s="75"/>
      <c r="E99" s="472" t="s">
        <v>824</v>
      </c>
      <c r="F99" s="472"/>
      <c r="G99" s="472"/>
      <c r="H99" s="472"/>
      <c r="I99" s="472"/>
      <c r="J99" s="472"/>
      <c r="K99" s="472"/>
      <c r="L99" s="472"/>
      <c r="M99" s="472"/>
      <c r="N99" s="472"/>
      <c r="O99" s="472"/>
      <c r="P99" s="472"/>
      <c r="Q99" s="472"/>
      <c r="R99" s="216"/>
    </row>
    <row r="100" spans="1:18" s="70" customFormat="1" ht="25.5" x14ac:dyDescent="0.2">
      <c r="A100" s="152" t="s">
        <v>25</v>
      </c>
      <c r="B100" s="154" t="s">
        <v>0</v>
      </c>
      <c r="C100" s="153"/>
      <c r="D100" s="153" t="s">
        <v>31</v>
      </c>
      <c r="E100" s="469" t="s">
        <v>825</v>
      </c>
      <c r="F100" s="469"/>
      <c r="G100" s="469"/>
      <c r="H100" s="469"/>
      <c r="I100" s="469"/>
      <c r="J100" s="146" t="s">
        <v>1010</v>
      </c>
      <c r="K100" s="34" t="s">
        <v>826</v>
      </c>
      <c r="L100" s="34" t="s">
        <v>533</v>
      </c>
      <c r="M100" s="34" t="s">
        <v>11</v>
      </c>
      <c r="N100" s="148">
        <v>10</v>
      </c>
      <c r="O100" s="148">
        <v>10</v>
      </c>
      <c r="P100" s="148">
        <v>10</v>
      </c>
      <c r="Q100" s="148" t="s">
        <v>1011</v>
      </c>
      <c r="R100" s="216"/>
    </row>
    <row r="101" spans="1:18" s="70" customFormat="1" ht="23.25" customHeight="1" x14ac:dyDescent="0.2">
      <c r="A101" s="548" t="s">
        <v>25</v>
      </c>
      <c r="B101" s="549" t="s">
        <v>0</v>
      </c>
      <c r="C101" s="550" t="s">
        <v>0</v>
      </c>
      <c r="D101" s="550" t="s">
        <v>21</v>
      </c>
      <c r="E101" s="465" t="s">
        <v>521</v>
      </c>
      <c r="F101" s="465"/>
      <c r="G101" s="465"/>
      <c r="H101" s="465"/>
      <c r="I101" s="465"/>
      <c r="J101" s="450" t="s">
        <v>1010</v>
      </c>
      <c r="K101" s="33" t="s">
        <v>827</v>
      </c>
      <c r="L101" s="61" t="s">
        <v>518</v>
      </c>
      <c r="M101" s="33" t="s">
        <v>12</v>
      </c>
      <c r="N101" s="145">
        <v>9</v>
      </c>
      <c r="O101" s="145">
        <v>10</v>
      </c>
      <c r="P101" s="145">
        <v>10</v>
      </c>
      <c r="Q101" s="145" t="s">
        <v>19</v>
      </c>
      <c r="R101" s="216"/>
    </row>
    <row r="102" spans="1:18" s="70" customFormat="1" x14ac:dyDescent="0.2">
      <c r="A102" s="548"/>
      <c r="B102" s="549"/>
      <c r="C102" s="550"/>
      <c r="D102" s="550"/>
      <c r="E102" s="465"/>
      <c r="F102" s="465"/>
      <c r="G102" s="465"/>
      <c r="H102" s="465"/>
      <c r="I102" s="465"/>
      <c r="J102" s="450"/>
      <c r="K102" s="33" t="s">
        <v>828</v>
      </c>
      <c r="L102" s="61" t="s">
        <v>517</v>
      </c>
      <c r="M102" s="33" t="s">
        <v>12</v>
      </c>
      <c r="N102" s="145">
        <v>10</v>
      </c>
      <c r="O102" s="145">
        <v>11</v>
      </c>
      <c r="P102" s="145">
        <v>11</v>
      </c>
      <c r="Q102" s="145" t="s">
        <v>19</v>
      </c>
      <c r="R102" s="216"/>
    </row>
    <row r="103" spans="1:18" s="70" customFormat="1" x14ac:dyDescent="0.2">
      <c r="A103" s="548"/>
      <c r="B103" s="549"/>
      <c r="C103" s="550"/>
      <c r="D103" s="550"/>
      <c r="E103" s="61" t="s">
        <v>14</v>
      </c>
      <c r="F103" s="31">
        <v>70</v>
      </c>
      <c r="G103" s="31">
        <v>60</v>
      </c>
      <c r="H103" s="94">
        <f>ROUND(G103*Lapas1!$A$1,1)</f>
        <v>65.400000000000006</v>
      </c>
      <c r="I103" s="94">
        <f>ROUND(H103*Lapas1!$A$2,1)</f>
        <v>73.900000000000006</v>
      </c>
      <c r="J103" s="26"/>
      <c r="K103" s="26"/>
      <c r="L103" s="43"/>
      <c r="M103" s="43"/>
      <c r="N103" s="24"/>
      <c r="O103" s="24"/>
      <c r="P103" s="220"/>
      <c r="Q103" s="220"/>
      <c r="R103" s="216"/>
    </row>
    <row r="104" spans="1:18" s="70" customFormat="1" x14ac:dyDescent="0.2">
      <c r="A104" s="548"/>
      <c r="B104" s="549"/>
      <c r="C104" s="550"/>
      <c r="D104" s="550"/>
      <c r="E104" s="82" t="s">
        <v>22</v>
      </c>
      <c r="F104" s="17">
        <f>SUM(F103:F103)</f>
        <v>70</v>
      </c>
      <c r="G104" s="28">
        <f>SUM(G103:G103)</f>
        <v>60</v>
      </c>
      <c r="H104" s="17">
        <f>SUM(H103:H103)</f>
        <v>65.400000000000006</v>
      </c>
      <c r="I104" s="17">
        <f>SUM(I103:I103)</f>
        <v>73.900000000000006</v>
      </c>
      <c r="J104" s="26"/>
      <c r="K104" s="26"/>
      <c r="L104" s="43"/>
      <c r="M104" s="43"/>
      <c r="N104" s="24"/>
      <c r="O104" s="24"/>
      <c r="P104" s="220"/>
      <c r="Q104" s="220"/>
      <c r="R104" s="42">
        <f>(G104-F104)/F104</f>
        <v>-0.14285714285714285</v>
      </c>
    </row>
    <row r="105" spans="1:18" s="70" customFormat="1" x14ac:dyDescent="0.2">
      <c r="A105" s="152" t="s">
        <v>25</v>
      </c>
      <c r="B105" s="154" t="s">
        <v>0</v>
      </c>
      <c r="C105" s="74"/>
      <c r="D105" s="74" t="s">
        <v>31</v>
      </c>
      <c r="E105" s="41" t="s">
        <v>2</v>
      </c>
      <c r="F105" s="39">
        <f>F104</f>
        <v>70</v>
      </c>
      <c r="G105" s="40">
        <f t="shared" ref="G105:I105" si="2">G104</f>
        <v>60</v>
      </c>
      <c r="H105" s="39">
        <f t="shared" si="2"/>
        <v>65.400000000000006</v>
      </c>
      <c r="I105" s="39">
        <f t="shared" si="2"/>
        <v>73.900000000000006</v>
      </c>
      <c r="J105" s="154"/>
      <c r="K105" s="84"/>
      <c r="L105" s="84"/>
      <c r="M105" s="84"/>
      <c r="N105" s="84"/>
      <c r="O105" s="84"/>
      <c r="P105" s="84"/>
      <c r="Q105" s="84"/>
      <c r="R105" s="216"/>
    </row>
    <row r="106" spans="1:18" s="70" customFormat="1" x14ac:dyDescent="0.2">
      <c r="A106" s="227" t="s">
        <v>25</v>
      </c>
      <c r="B106" s="60"/>
      <c r="C106" s="60"/>
      <c r="D106" s="60"/>
      <c r="E106" s="37" t="s">
        <v>239</v>
      </c>
      <c r="F106" s="35">
        <f>F105</f>
        <v>70</v>
      </c>
      <c r="G106" s="36">
        <f>G105</f>
        <v>60</v>
      </c>
      <c r="H106" s="35">
        <f>H105</f>
        <v>65.400000000000006</v>
      </c>
      <c r="I106" s="35">
        <f>I105</f>
        <v>73.900000000000006</v>
      </c>
      <c r="J106" s="60"/>
      <c r="K106" s="223"/>
      <c r="L106" s="223"/>
      <c r="M106" s="223"/>
      <c r="N106" s="223"/>
      <c r="O106" s="223"/>
      <c r="P106" s="223"/>
      <c r="Q106" s="223"/>
      <c r="R106" s="216"/>
    </row>
    <row r="107" spans="1:18" s="70" customFormat="1" x14ac:dyDescent="0.2">
      <c r="A107" s="139"/>
      <c r="B107" s="139"/>
      <c r="C107" s="139"/>
      <c r="D107" s="139"/>
      <c r="E107" s="22" t="s">
        <v>240</v>
      </c>
      <c r="F107" s="20">
        <f>F49+F79+F98+F106</f>
        <v>4161.2439999999997</v>
      </c>
      <c r="G107" s="21">
        <f>G49+G79+G98+G106</f>
        <v>4635.0529999999999</v>
      </c>
      <c r="H107" s="20">
        <f>H49+H79+H98+H106</f>
        <v>5052.5</v>
      </c>
      <c r="I107" s="20">
        <f>I49+I79+I98+I106</f>
        <v>5709.4000000000005</v>
      </c>
      <c r="J107" s="73"/>
      <c r="K107" s="224"/>
      <c r="L107" s="224"/>
      <c r="M107" s="224"/>
      <c r="N107" s="224"/>
      <c r="O107" s="224"/>
      <c r="P107" s="224"/>
      <c r="Q107" s="224"/>
      <c r="R107" s="216"/>
    </row>
    <row r="108" spans="1:18" ht="42.75" customHeight="1" x14ac:dyDescent="0.2">
      <c r="A108" s="462" t="s">
        <v>790</v>
      </c>
      <c r="B108" s="462"/>
      <c r="C108" s="462"/>
      <c r="D108" s="462"/>
      <c r="E108" s="462"/>
      <c r="F108" s="462"/>
      <c r="G108" s="462"/>
      <c r="H108" s="462"/>
      <c r="I108" s="462"/>
      <c r="J108" s="462"/>
      <c r="K108" s="462"/>
      <c r="R108" s="78"/>
    </row>
    <row r="109" spans="1:18" ht="29.25" customHeight="1" x14ac:dyDescent="0.2">
      <c r="A109" s="416" t="s">
        <v>795</v>
      </c>
      <c r="B109" s="416"/>
      <c r="C109" s="416"/>
      <c r="D109" s="416"/>
      <c r="E109" s="416"/>
      <c r="F109" s="416"/>
      <c r="G109" s="416"/>
      <c r="H109" s="416"/>
      <c r="I109" s="416"/>
      <c r="J109" s="416"/>
      <c r="K109" s="416"/>
    </row>
    <row r="110" spans="1:18" x14ac:dyDescent="0.2">
      <c r="A110" s="19"/>
    </row>
    <row r="111" spans="1:18" x14ac:dyDescent="0.2">
      <c r="A111" s="463" t="s">
        <v>4</v>
      </c>
      <c r="B111" s="463"/>
      <c r="C111" s="463"/>
      <c r="D111" s="463"/>
      <c r="E111" s="463"/>
      <c r="F111" s="463"/>
      <c r="G111" s="463"/>
      <c r="H111" s="463"/>
      <c r="I111" s="463"/>
    </row>
    <row r="112" spans="1:18" ht="26.25" customHeight="1" x14ac:dyDescent="0.2">
      <c r="A112" s="402" t="s">
        <v>13</v>
      </c>
      <c r="B112" s="402"/>
      <c r="C112" s="402"/>
      <c r="D112" s="402"/>
      <c r="E112" s="71" t="s">
        <v>14</v>
      </c>
      <c r="F112" s="17">
        <f>+F103+F21+F27+F33+F39+F45+F57+F65+F72+F76+F83+F86+F89+F92+F95</f>
        <v>3879.1000000000004</v>
      </c>
      <c r="G112" s="28">
        <f>+G103+G21+G27+G33+G39+G45+G57+G65+G72+G76+G83+G86+G89+G92+G95</f>
        <v>4311.1000000000004</v>
      </c>
      <c r="H112" s="17">
        <f>+H103+H21+H27+H33+H39+H45+H57+H65+H72+H76+H83+H86+H89+H92+H95</f>
        <v>4699.3000000000011</v>
      </c>
      <c r="I112" s="17">
        <f>+I103+I21+I27+I33+I39+I45+I57+I65+I72+I76+I83+I86+I89+I92+I95</f>
        <v>5310.3000000000011</v>
      </c>
    </row>
    <row r="113" spans="1:9" ht="26.25" customHeight="1" x14ac:dyDescent="0.2">
      <c r="A113" s="402" t="s">
        <v>20</v>
      </c>
      <c r="B113" s="402"/>
      <c r="C113" s="402"/>
      <c r="D113" s="402"/>
      <c r="E113" s="71" t="s">
        <v>15</v>
      </c>
      <c r="F113" s="17">
        <f>F58</f>
        <v>42.643999999999998</v>
      </c>
      <c r="G113" s="28">
        <f t="shared" ref="G113:I113" si="3">G58</f>
        <v>40.008000000000003</v>
      </c>
      <c r="H113" s="17">
        <f t="shared" si="3"/>
        <v>43.6</v>
      </c>
      <c r="I113" s="17">
        <f t="shared" si="3"/>
        <v>49.3</v>
      </c>
    </row>
    <row r="114" spans="1:9" ht="51.75" customHeight="1" x14ac:dyDescent="0.2">
      <c r="A114" s="402" t="s">
        <v>16</v>
      </c>
      <c r="B114" s="402"/>
      <c r="C114" s="402"/>
      <c r="D114" s="402"/>
      <c r="E114" s="71" t="s">
        <v>17</v>
      </c>
      <c r="F114" s="17">
        <f>F22+F28+F34+F40+F46+F59+F66+F73</f>
        <v>239.5</v>
      </c>
      <c r="G114" s="28">
        <f>G22+G28+G34+G40+G46+G59+G66+G73</f>
        <v>283.94499999999999</v>
      </c>
      <c r="H114" s="17">
        <f>H22+H28+H34+H40+H46+H59+H66+H73</f>
        <v>309.60000000000002</v>
      </c>
      <c r="I114" s="17">
        <f>I22+I28+I34+I40+I46+I59+I66+I73</f>
        <v>349.8</v>
      </c>
    </row>
    <row r="115" spans="1:9" ht="26.25" customHeight="1" x14ac:dyDescent="0.2">
      <c r="A115" s="402" t="s">
        <v>231</v>
      </c>
      <c r="B115" s="402"/>
      <c r="C115" s="402"/>
      <c r="D115" s="402"/>
      <c r="E115" s="71" t="s">
        <v>232</v>
      </c>
      <c r="F115" s="17"/>
      <c r="G115" s="28"/>
      <c r="H115" s="17"/>
      <c r="I115" s="17"/>
    </row>
    <row r="116" spans="1:9" ht="26.25" customHeight="1" x14ac:dyDescent="0.2">
      <c r="A116" s="402" t="s">
        <v>230</v>
      </c>
      <c r="B116" s="402"/>
      <c r="C116" s="402"/>
      <c r="D116" s="402"/>
      <c r="E116" s="71" t="s">
        <v>18</v>
      </c>
      <c r="F116" s="17"/>
      <c r="G116" s="28"/>
      <c r="H116" s="17"/>
      <c r="I116" s="17"/>
    </row>
    <row r="117" spans="1:9" x14ac:dyDescent="0.2">
      <c r="A117" s="402" t="s">
        <v>169</v>
      </c>
      <c r="B117" s="402"/>
      <c r="C117" s="402"/>
      <c r="D117" s="402"/>
      <c r="E117" s="71" t="s">
        <v>162</v>
      </c>
      <c r="F117" s="17"/>
      <c r="G117" s="28"/>
      <c r="H117" s="17"/>
      <c r="I117" s="17"/>
    </row>
    <row r="118" spans="1:9" ht="27" customHeight="1" x14ac:dyDescent="0.2">
      <c r="A118" s="446" t="s">
        <v>3</v>
      </c>
      <c r="B118" s="446"/>
      <c r="C118" s="446"/>
      <c r="D118" s="446"/>
      <c r="E118" s="446"/>
      <c r="F118" s="51">
        <f>SUM(F112:F117)</f>
        <v>4161.2440000000006</v>
      </c>
      <c r="G118" s="52">
        <f>SUM(G112:G117)</f>
        <v>4635.0529999999999</v>
      </c>
      <c r="H118" s="51">
        <f>SUM(H112:H117)</f>
        <v>5052.5000000000018</v>
      </c>
      <c r="I118" s="51">
        <f>SUM(I112:I117)</f>
        <v>5709.4000000000015</v>
      </c>
    </row>
    <row r="119" spans="1:9" x14ac:dyDescent="0.2">
      <c r="A119" s="444" t="s">
        <v>7</v>
      </c>
      <c r="B119" s="444"/>
      <c r="C119" s="444"/>
      <c r="D119" s="444"/>
      <c r="E119" s="444"/>
      <c r="F119" s="16"/>
      <c r="G119" s="56"/>
      <c r="H119" s="16"/>
      <c r="I119" s="16"/>
    </row>
    <row r="120" spans="1:9" x14ac:dyDescent="0.2">
      <c r="A120" s="444" t="s">
        <v>5</v>
      </c>
      <c r="B120" s="444"/>
      <c r="C120" s="444"/>
      <c r="D120" s="444"/>
      <c r="E120" s="444"/>
      <c r="F120" s="16">
        <f>F84+F93</f>
        <v>88.2</v>
      </c>
      <c r="G120" s="56">
        <f>G84+G93</f>
        <v>100</v>
      </c>
      <c r="H120" s="16">
        <f>H84+H93</f>
        <v>109.1</v>
      </c>
      <c r="I120" s="16">
        <f>I84+I93</f>
        <v>123.3</v>
      </c>
    </row>
    <row r="121" spans="1:9" x14ac:dyDescent="0.2">
      <c r="A121" s="444" t="s">
        <v>6</v>
      </c>
      <c r="B121" s="444"/>
      <c r="C121" s="444"/>
      <c r="D121" s="444"/>
      <c r="E121" s="444"/>
      <c r="F121" s="16">
        <f>F23+F29+F35+F41+F47+F60+F67+F74+F77+F87+F90+F104+F95</f>
        <v>4073.0439999999999</v>
      </c>
      <c r="G121" s="56">
        <f>G23+G29+G35+G41+G47+G60+G67+G74+G77+G87+G90+G104+G95</f>
        <v>4535.0529999999999</v>
      </c>
      <c r="H121" s="16">
        <f>H23+H29+H35+H41+H47+H60+H67+H74+H77+H87+H90+H104+H95</f>
        <v>4943.4000000000005</v>
      </c>
      <c r="I121" s="16">
        <f>I23+I29+I35+I41+I47+I60+I67+I74+I77+I87+I90+I104+I95</f>
        <v>5586.1</v>
      </c>
    </row>
    <row r="122" spans="1:9" x14ac:dyDescent="0.2">
      <c r="F122" s="14"/>
      <c r="G122" s="15"/>
      <c r="H122" s="11"/>
      <c r="I122" s="11"/>
    </row>
    <row r="123" spans="1:9" hidden="1" x14ac:dyDescent="0.2">
      <c r="E123" s="9" t="s">
        <v>23</v>
      </c>
      <c r="F123" s="12">
        <f>F118-F107</f>
        <v>0</v>
      </c>
      <c r="G123" s="13">
        <f>G118-G107</f>
        <v>0</v>
      </c>
      <c r="H123" s="12">
        <f>H118-H107</f>
        <v>0</v>
      </c>
      <c r="I123" s="12">
        <f>I118-I107</f>
        <v>0</v>
      </c>
    </row>
    <row r="124" spans="1:9" hidden="1" x14ac:dyDescent="0.2">
      <c r="F124" s="54">
        <f>F120+F121-F107</f>
        <v>0</v>
      </c>
      <c r="G124" s="55">
        <f>G120+G121-G107</f>
        <v>0</v>
      </c>
      <c r="H124" s="54">
        <f>H120+H121-H107</f>
        <v>0</v>
      </c>
      <c r="I124" s="54">
        <f>I120+I121-I107</f>
        <v>0</v>
      </c>
    </row>
  </sheetData>
  <mergeCells count="139">
    <mergeCell ref="A120:E120"/>
    <mergeCell ref="A121:E121"/>
    <mergeCell ref="A111:I111"/>
    <mergeCell ref="S88:W88"/>
    <mergeCell ref="S82:W82"/>
    <mergeCell ref="D82:D84"/>
    <mergeCell ref="S91:W91"/>
    <mergeCell ref="A118:E118"/>
    <mergeCell ref="A119:E119"/>
    <mergeCell ref="D85:D87"/>
    <mergeCell ref="D88:D90"/>
    <mergeCell ref="D91:D93"/>
    <mergeCell ref="A116:D116"/>
    <mergeCell ref="A117:D117"/>
    <mergeCell ref="A112:D112"/>
    <mergeCell ref="A113:D113"/>
    <mergeCell ref="A114:D114"/>
    <mergeCell ref="A115:D115"/>
    <mergeCell ref="A108:K108"/>
    <mergeCell ref="A109:K109"/>
    <mergeCell ref="E82:I82"/>
    <mergeCell ref="E85:I85"/>
    <mergeCell ref="E88:I88"/>
    <mergeCell ref="D94:D96"/>
    <mergeCell ref="S54:W54"/>
    <mergeCell ref="D54:D60"/>
    <mergeCell ref="D61:D67"/>
    <mergeCell ref="J61:J64"/>
    <mergeCell ref="S61:W61"/>
    <mergeCell ref="J68:J71"/>
    <mergeCell ref="S69:U69"/>
    <mergeCell ref="S70:U70"/>
    <mergeCell ref="S75:W75"/>
    <mergeCell ref="D68:D74"/>
    <mergeCell ref="D75:D77"/>
    <mergeCell ref="C61:C67"/>
    <mergeCell ref="A82:A84"/>
    <mergeCell ref="B82:B84"/>
    <mergeCell ref="C82:C84"/>
    <mergeCell ref="A68:A74"/>
    <mergeCell ref="B68:B74"/>
    <mergeCell ref="C68:C74"/>
    <mergeCell ref="A75:A77"/>
    <mergeCell ref="B75:B77"/>
    <mergeCell ref="C75:C77"/>
    <mergeCell ref="A61:A67"/>
    <mergeCell ref="B61:B67"/>
    <mergeCell ref="A91:A93"/>
    <mergeCell ref="B91:B93"/>
    <mergeCell ref="C91:C93"/>
    <mergeCell ref="A85:A87"/>
    <mergeCell ref="B85:B87"/>
    <mergeCell ref="C85:C87"/>
    <mergeCell ref="A88:A90"/>
    <mergeCell ref="B88:B90"/>
    <mergeCell ref="C88:C90"/>
    <mergeCell ref="E42:I44"/>
    <mergeCell ref="R11:R12"/>
    <mergeCell ref="B15:B16"/>
    <mergeCell ref="J15:J16"/>
    <mergeCell ref="J17:J20"/>
    <mergeCell ref="D17:D23"/>
    <mergeCell ref="J24:J26"/>
    <mergeCell ref="D24:D29"/>
    <mergeCell ref="E24:I26"/>
    <mergeCell ref="J30:J32"/>
    <mergeCell ref="D30:D35"/>
    <mergeCell ref="E30:I32"/>
    <mergeCell ref="C15:C16"/>
    <mergeCell ref="B24:B29"/>
    <mergeCell ref="C24:C29"/>
    <mergeCell ref="Q11:Q12"/>
    <mergeCell ref="J42:J44"/>
    <mergeCell ref="C36:C41"/>
    <mergeCell ref="E14:Q14"/>
    <mergeCell ref="E15:I16"/>
    <mergeCell ref="E17:I20"/>
    <mergeCell ref="D15:D16"/>
    <mergeCell ref="Q15:Q16"/>
    <mergeCell ref="J36:J38"/>
    <mergeCell ref="A10:P10"/>
    <mergeCell ref="E11:E12"/>
    <mergeCell ref="G11:G12"/>
    <mergeCell ref="F11:F12"/>
    <mergeCell ref="H11:H12"/>
    <mergeCell ref="I11:I12"/>
    <mergeCell ref="J11:J12"/>
    <mergeCell ref="K11:K12"/>
    <mergeCell ref="L11:M11"/>
    <mergeCell ref="N11:P11"/>
    <mergeCell ref="A11:C11"/>
    <mergeCell ref="D11:D12"/>
    <mergeCell ref="D36:D41"/>
    <mergeCell ref="E36:I38"/>
    <mergeCell ref="A54:A60"/>
    <mergeCell ref="B54:B60"/>
    <mergeCell ref="C54:C60"/>
    <mergeCell ref="A15:A16"/>
    <mergeCell ref="A17:A23"/>
    <mergeCell ref="B17:B23"/>
    <mergeCell ref="C17:C23"/>
    <mergeCell ref="A24:A29"/>
    <mergeCell ref="D42:D47"/>
    <mergeCell ref="B51:B53"/>
    <mergeCell ref="A42:A47"/>
    <mergeCell ref="B42:B47"/>
    <mergeCell ref="C42:C47"/>
    <mergeCell ref="A51:A53"/>
    <mergeCell ref="C51:C53"/>
    <mergeCell ref="D51:D53"/>
    <mergeCell ref="A30:A35"/>
    <mergeCell ref="B30:B35"/>
    <mergeCell ref="C30:C35"/>
    <mergeCell ref="A36:A41"/>
    <mergeCell ref="B36:B41"/>
    <mergeCell ref="E50:Q50"/>
    <mergeCell ref="A101:A104"/>
    <mergeCell ref="B101:B104"/>
    <mergeCell ref="C101:C104"/>
    <mergeCell ref="D101:D104"/>
    <mergeCell ref="E101:I102"/>
    <mergeCell ref="J101:J102"/>
    <mergeCell ref="E94:I94"/>
    <mergeCell ref="A94:A96"/>
    <mergeCell ref="B94:B96"/>
    <mergeCell ref="C94:C96"/>
    <mergeCell ref="E99:Q99"/>
    <mergeCell ref="E100:I100"/>
    <mergeCell ref="E51:I53"/>
    <mergeCell ref="E54:I56"/>
    <mergeCell ref="E61:I64"/>
    <mergeCell ref="E68:I71"/>
    <mergeCell ref="E75:I75"/>
    <mergeCell ref="E91:I91"/>
    <mergeCell ref="E80:Q80"/>
    <mergeCell ref="E81:I81"/>
    <mergeCell ref="J51:J53"/>
    <mergeCell ref="J54:J56"/>
    <mergeCell ref="Q51:Q53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rowBreaks count="3" manualBreakCount="3">
    <brk id="29" max="16" man="1"/>
    <brk id="60" max="16" man="1"/>
    <brk id="87" max="16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75"/>
  <sheetViews>
    <sheetView zoomScale="70" zoomScaleNormal="70" workbookViewId="0">
      <pane ySplit="13" topLeftCell="A14" activePane="bottomLeft" state="frozen"/>
      <selection pane="bottomLeft" activeCell="C14" sqref="C14"/>
    </sheetView>
  </sheetViews>
  <sheetFormatPr defaultColWidth="9.140625" defaultRowHeight="18" customHeight="1" x14ac:dyDescent="0.2"/>
  <cols>
    <col min="1" max="2" width="5" style="15" customWidth="1"/>
    <col min="3" max="4" width="5" style="10" customWidth="1"/>
    <col min="5" max="5" width="17.7109375" style="10" customWidth="1"/>
    <col min="6" max="6" width="13" style="304" customWidth="1"/>
    <col min="7" max="7" width="13" style="11" customWidth="1"/>
    <col min="8" max="9" width="13" style="15" customWidth="1"/>
    <col min="10" max="11" width="24.7109375" style="10" customWidth="1"/>
    <col min="12" max="12" width="49.7109375" style="10" customWidth="1"/>
    <col min="13" max="13" width="6.28515625" style="10" customWidth="1"/>
    <col min="14" max="16" width="6.28515625" style="15" customWidth="1"/>
    <col min="17" max="17" width="32.7109375" style="15" customWidth="1"/>
    <col min="18" max="18" width="11.7109375" style="305" hidden="1" customWidth="1"/>
    <col min="19" max="19" width="46.7109375" style="10" customWidth="1"/>
    <col min="20" max="20" width="9.140625" style="10" customWidth="1"/>
    <col min="21" max="16384" width="9.140625" style="10"/>
  </cols>
  <sheetData>
    <row r="1" spans="1:18" ht="14.25" customHeight="1" x14ac:dyDescent="0.2">
      <c r="I1" s="10"/>
      <c r="Q1" s="49" t="str">
        <f>'001'!Q1</f>
        <v>PATVIRTINTA</v>
      </c>
    </row>
    <row r="2" spans="1:18" ht="13.7" customHeight="1" x14ac:dyDescent="0.2">
      <c r="I2" s="10"/>
      <c r="Q2" s="49" t="str">
        <f>'001'!Q2</f>
        <v>Plungės rajono savivaldybės tarybos</v>
      </c>
    </row>
    <row r="3" spans="1:18" ht="13.7" customHeight="1" x14ac:dyDescent="0.2">
      <c r="I3" s="10"/>
      <c r="Q3" s="49" t="str">
        <f>'001'!Q3</f>
        <v>2026 m. vasario 12 d. sprendimu Nr. T1-</v>
      </c>
    </row>
    <row r="4" spans="1:18" ht="13.7" hidden="1" customHeight="1" x14ac:dyDescent="0.2">
      <c r="I4" s="10"/>
      <c r="Q4" s="49" t="str">
        <f>'001'!Q4</f>
        <v xml:space="preserve">(2026 m. mėn. d. sprendimo Nr. </v>
      </c>
    </row>
    <row r="5" spans="1:18" ht="13.7" hidden="1" customHeight="1" x14ac:dyDescent="0.2">
      <c r="I5" s="10"/>
      <c r="Q5" s="49" t="str">
        <f>'001'!Q5</f>
        <v>T1- redakcija)</v>
      </c>
    </row>
    <row r="6" spans="1:18" ht="12.75" customHeight="1" x14ac:dyDescent="0.2">
      <c r="I6" s="10"/>
      <c r="Q6" s="49" t="str">
        <f>'001'!Q6</f>
        <v xml:space="preserve">Plungės rajono savivaldybės </v>
      </c>
    </row>
    <row r="7" spans="1:18" ht="12.75" customHeight="1" x14ac:dyDescent="0.2">
      <c r="I7" s="10"/>
      <c r="L7" s="259"/>
      <c r="Q7" s="49" t="str">
        <f>'001'!Q7</f>
        <v>2026–2028 metų  strateginio veiklos plano</v>
      </c>
    </row>
    <row r="8" spans="1:18" ht="12.75" x14ac:dyDescent="0.2">
      <c r="L8" s="50"/>
      <c r="Q8" s="49" t="s">
        <v>753</v>
      </c>
    </row>
    <row r="9" spans="1:18" ht="12.75" x14ac:dyDescent="0.2">
      <c r="H9" s="50"/>
    </row>
    <row r="10" spans="1:18" ht="12.75" x14ac:dyDescent="0.2">
      <c r="A10" s="525" t="s">
        <v>925</v>
      </c>
      <c r="B10" s="525"/>
      <c r="C10" s="525"/>
      <c r="D10" s="525"/>
      <c r="E10" s="525"/>
      <c r="F10" s="525"/>
      <c r="G10" s="525"/>
      <c r="H10" s="525"/>
      <c r="I10" s="525"/>
      <c r="J10" s="525"/>
      <c r="K10" s="525"/>
      <c r="L10" s="525"/>
      <c r="M10" s="525"/>
      <c r="N10" s="525"/>
      <c r="O10" s="525"/>
      <c r="P10" s="525"/>
      <c r="Q10" s="306" t="s">
        <v>244</v>
      </c>
      <c r="R10" s="307"/>
    </row>
    <row r="11" spans="1:18" ht="26.25" customHeight="1" x14ac:dyDescent="0.2">
      <c r="A11" s="442" t="str">
        <f>'001'!A11:R13</f>
        <v>Kodas</v>
      </c>
      <c r="B11" s="442"/>
      <c r="C11" s="442"/>
      <c r="D11" s="528" t="str">
        <f>'001'!D11:D12</f>
        <v>Uždavinio/ priemonės požymis *</v>
      </c>
      <c r="E11" s="442" t="str">
        <f>'001'!E11:E12</f>
        <v>Programos tikslo/uždavinio/priemonės pavadinimas ir finansavimo šaltiniai</v>
      </c>
      <c r="F11" s="442" t="str">
        <f>'001'!F11:F12</f>
        <v>2025-ųjų m. asignavimai ir kitos lėšos (2025-02-13 datai)</v>
      </c>
      <c r="G11" s="523" t="str">
        <f>'001'!G11:G12</f>
        <v>2026-ųjų m. asignavimai ir kitos lėšos</v>
      </c>
      <c r="H11" s="442" t="str">
        <f>'001'!H11:H12</f>
        <v>Planuojami 2027-ųjų m. asignavimai ir kitos lėšos</v>
      </c>
      <c r="I11" s="442" t="str">
        <f>'001'!I11:I12</f>
        <v>Planuojami 2028-ųjų m. asignavimai ir kitos lėšos</v>
      </c>
      <c r="J11" s="442" t="str">
        <f>'001'!J11:J12</f>
        <v>Savivaldybės strateginio plėtros plano tikslo/uždavinio kodas**</v>
      </c>
      <c r="K11" s="442" t="str">
        <f>'001'!K11:K12</f>
        <v>Stebėsenos rodiklio kodas</v>
      </c>
      <c r="L11" s="524" t="str">
        <f>'001'!L11:M11</f>
        <v>Stebėsenos rodiklio</v>
      </c>
      <c r="M11" s="524"/>
      <c r="N11" s="524" t="str">
        <f>'001'!N11:P11</f>
        <v>Siektinos stebėsenos rodiklių reikšmės</v>
      </c>
      <c r="O11" s="524"/>
      <c r="P11" s="524"/>
      <c r="Q11" s="524" t="str">
        <f>'001'!Q11:Q12</f>
        <v>Savivaldybės strateginio plėtros plano rodiklio kodas**</v>
      </c>
      <c r="R11" s="526" t="str">
        <f>'001'!R11:R12</f>
        <v>Asignavimų skirtumas (2024 m.- 2025 m.)</v>
      </c>
    </row>
    <row r="12" spans="1:18" ht="82.5" customHeight="1" x14ac:dyDescent="0.2">
      <c r="A12" s="254" t="str">
        <f>'001'!A12</f>
        <v>tikslo</v>
      </c>
      <c r="B12" s="254" t="str">
        <f>'001'!B12</f>
        <v>uždavinio</v>
      </c>
      <c r="C12" s="254" t="str">
        <f>'001'!C12</f>
        <v>priemonės</v>
      </c>
      <c r="D12" s="528"/>
      <c r="E12" s="442"/>
      <c r="F12" s="442"/>
      <c r="G12" s="523"/>
      <c r="H12" s="442"/>
      <c r="I12" s="442"/>
      <c r="J12" s="442"/>
      <c r="K12" s="442"/>
      <c r="L12" s="255" t="str">
        <f>'001'!L12</f>
        <v>pavadinimas</v>
      </c>
      <c r="M12" s="255" t="str">
        <f>'001'!M12</f>
        <v>mato vnt.</v>
      </c>
      <c r="N12" s="255">
        <f>'001'!N12</f>
        <v>2026</v>
      </c>
      <c r="O12" s="255">
        <f>'001'!O12</f>
        <v>2027</v>
      </c>
      <c r="P12" s="255">
        <f>'001'!P12</f>
        <v>2028</v>
      </c>
      <c r="Q12" s="524"/>
      <c r="R12" s="526"/>
    </row>
    <row r="13" spans="1:18" ht="12.75" x14ac:dyDescent="0.2">
      <c r="A13" s="48">
        <f>'001'!A13</f>
        <v>1</v>
      </c>
      <c r="B13" s="48">
        <f>'001'!B13</f>
        <v>2</v>
      </c>
      <c r="C13" s="48">
        <f>'001'!C13</f>
        <v>3</v>
      </c>
      <c r="D13" s="48">
        <f>'001'!D13</f>
        <v>4</v>
      </c>
      <c r="E13" s="48">
        <f>'001'!E13</f>
        <v>5</v>
      </c>
      <c r="F13" s="48">
        <f>'001'!F13</f>
        <v>6</v>
      </c>
      <c r="G13" s="362">
        <f>'001'!G13</f>
        <v>7</v>
      </c>
      <c r="H13" s="48">
        <f>'001'!H13</f>
        <v>8</v>
      </c>
      <c r="I13" s="48">
        <f>'001'!I13</f>
        <v>9</v>
      </c>
      <c r="J13" s="48">
        <f>'001'!J13</f>
        <v>10</v>
      </c>
      <c r="K13" s="48">
        <f>'001'!K13</f>
        <v>11</v>
      </c>
      <c r="L13" s="48">
        <f>'001'!L13</f>
        <v>12</v>
      </c>
      <c r="M13" s="48">
        <f>'001'!M13</f>
        <v>13</v>
      </c>
      <c r="N13" s="48">
        <f>'001'!N13</f>
        <v>14</v>
      </c>
      <c r="O13" s="48">
        <f>'001'!O13</f>
        <v>15</v>
      </c>
      <c r="P13" s="48">
        <f>'001'!P13</f>
        <v>16</v>
      </c>
      <c r="Q13" s="48">
        <f>'001'!Q13</f>
        <v>17</v>
      </c>
      <c r="R13" s="48">
        <f>'001'!R13</f>
        <v>18</v>
      </c>
    </row>
    <row r="14" spans="1:18" s="259" customFormat="1" ht="12.75" x14ac:dyDescent="0.2">
      <c r="A14" s="256" t="s">
        <v>0</v>
      </c>
      <c r="B14" s="257"/>
      <c r="C14" s="257"/>
      <c r="D14" s="257"/>
      <c r="E14" s="521" t="s">
        <v>752</v>
      </c>
      <c r="F14" s="521"/>
      <c r="G14" s="521"/>
      <c r="H14" s="521"/>
      <c r="I14" s="521"/>
      <c r="J14" s="521"/>
      <c r="K14" s="521"/>
      <c r="L14" s="521"/>
      <c r="M14" s="521"/>
      <c r="N14" s="521"/>
      <c r="O14" s="521"/>
      <c r="P14" s="521"/>
      <c r="Q14" s="521"/>
      <c r="R14" s="258"/>
    </row>
    <row r="15" spans="1:18" s="259" customFormat="1" ht="38.25" x14ac:dyDescent="0.2">
      <c r="A15" s="486" t="s">
        <v>0</v>
      </c>
      <c r="B15" s="487" t="s">
        <v>0</v>
      </c>
      <c r="C15" s="487"/>
      <c r="D15" s="487" t="s">
        <v>31</v>
      </c>
      <c r="E15" s="529" t="s">
        <v>751</v>
      </c>
      <c r="F15" s="529"/>
      <c r="G15" s="529"/>
      <c r="H15" s="529"/>
      <c r="I15" s="529"/>
      <c r="J15" s="487" t="s">
        <v>19</v>
      </c>
      <c r="K15" s="260" t="s">
        <v>750</v>
      </c>
      <c r="L15" s="260" t="s">
        <v>749</v>
      </c>
      <c r="M15" s="260" t="s">
        <v>11</v>
      </c>
      <c r="N15" s="308">
        <v>37.35</v>
      </c>
      <c r="O15" s="308">
        <v>39</v>
      </c>
      <c r="P15" s="308">
        <v>40</v>
      </c>
      <c r="Q15" s="570" t="s">
        <v>1018</v>
      </c>
      <c r="R15" s="258"/>
    </row>
    <row r="16" spans="1:18" s="259" customFormat="1" ht="25.5" x14ac:dyDescent="0.2">
      <c r="A16" s="486"/>
      <c r="B16" s="487"/>
      <c r="C16" s="487"/>
      <c r="D16" s="487"/>
      <c r="E16" s="529"/>
      <c r="F16" s="529"/>
      <c r="G16" s="529"/>
      <c r="H16" s="529"/>
      <c r="I16" s="529"/>
      <c r="J16" s="487"/>
      <c r="K16" s="260" t="s">
        <v>748</v>
      </c>
      <c r="L16" s="260" t="s">
        <v>747</v>
      </c>
      <c r="M16" s="260" t="s">
        <v>11</v>
      </c>
      <c r="N16" s="308">
        <v>1.2</v>
      </c>
      <c r="O16" s="308">
        <v>0</v>
      </c>
      <c r="P16" s="308">
        <v>1.98</v>
      </c>
      <c r="Q16" s="571"/>
      <c r="R16" s="258"/>
    </row>
    <row r="17" spans="1:18" s="259" customFormat="1" ht="12.75" x14ac:dyDescent="0.2">
      <c r="A17" s="569" t="s">
        <v>0</v>
      </c>
      <c r="B17" s="488" t="s">
        <v>0</v>
      </c>
      <c r="C17" s="499" t="s">
        <v>0</v>
      </c>
      <c r="D17" s="499" t="s">
        <v>21</v>
      </c>
      <c r="E17" s="490" t="s">
        <v>746</v>
      </c>
      <c r="F17" s="490"/>
      <c r="G17" s="490"/>
      <c r="H17" s="490"/>
      <c r="I17" s="490"/>
      <c r="J17" s="499" t="s">
        <v>19</v>
      </c>
      <c r="K17" s="86" t="s">
        <v>745</v>
      </c>
      <c r="L17" s="86" t="s">
        <v>744</v>
      </c>
      <c r="M17" s="263" t="s">
        <v>12</v>
      </c>
      <c r="N17" s="309">
        <v>370</v>
      </c>
      <c r="O17" s="309">
        <v>380</v>
      </c>
      <c r="P17" s="309">
        <v>350</v>
      </c>
      <c r="Q17" s="309" t="s">
        <v>19</v>
      </c>
      <c r="R17" s="310"/>
    </row>
    <row r="18" spans="1:18" s="259" customFormat="1" ht="25.5" x14ac:dyDescent="0.2">
      <c r="A18" s="569"/>
      <c r="B18" s="488"/>
      <c r="C18" s="499"/>
      <c r="D18" s="499"/>
      <c r="E18" s="490"/>
      <c r="F18" s="490"/>
      <c r="G18" s="490"/>
      <c r="H18" s="490"/>
      <c r="I18" s="490"/>
      <c r="J18" s="499"/>
      <c r="K18" s="86" t="s">
        <v>743</v>
      </c>
      <c r="L18" s="263" t="s">
        <v>742</v>
      </c>
      <c r="M18" s="263" t="s">
        <v>12</v>
      </c>
      <c r="N18" s="309">
        <v>75</v>
      </c>
      <c r="O18" s="309">
        <v>75</v>
      </c>
      <c r="P18" s="309">
        <v>75</v>
      </c>
      <c r="Q18" s="309" t="s">
        <v>19</v>
      </c>
      <c r="R18" s="310"/>
    </row>
    <row r="19" spans="1:18" s="259" customFormat="1" ht="12.75" x14ac:dyDescent="0.2">
      <c r="A19" s="569"/>
      <c r="B19" s="488"/>
      <c r="C19" s="499"/>
      <c r="D19" s="499"/>
      <c r="E19" s="86" t="s">
        <v>14</v>
      </c>
      <c r="F19" s="31">
        <v>731.3</v>
      </c>
      <c r="G19" s="30">
        <v>726.6</v>
      </c>
      <c r="H19" s="94">
        <f>ROUND(G19*Lapas1!$A$1,1)</f>
        <v>792</v>
      </c>
      <c r="I19" s="94">
        <f>ROUND(H19*Lapas1!$A$2,1)</f>
        <v>895</v>
      </c>
      <c r="J19" s="270"/>
      <c r="K19" s="311"/>
      <c r="L19" s="311"/>
      <c r="M19" s="312"/>
      <c r="N19" s="274"/>
      <c r="O19" s="274"/>
      <c r="P19" s="274"/>
      <c r="Q19" s="274"/>
      <c r="R19" s="313"/>
    </row>
    <row r="20" spans="1:18" s="259" customFormat="1" ht="12.75" x14ac:dyDescent="0.2">
      <c r="A20" s="569"/>
      <c r="B20" s="488"/>
      <c r="C20" s="499"/>
      <c r="D20" s="499"/>
      <c r="E20" s="239" t="s">
        <v>22</v>
      </c>
      <c r="F20" s="28">
        <f>SUM(F19:F19)</f>
        <v>731.3</v>
      </c>
      <c r="G20" s="27">
        <f t="shared" ref="G20:I20" si="0">SUM(G19:G19)</f>
        <v>726.6</v>
      </c>
      <c r="H20" s="28">
        <f t="shared" si="0"/>
        <v>792</v>
      </c>
      <c r="I20" s="28">
        <f t="shared" si="0"/>
        <v>895</v>
      </c>
      <c r="J20" s="270"/>
      <c r="K20" s="311"/>
      <c r="L20" s="311"/>
      <c r="M20" s="312"/>
      <c r="N20" s="274"/>
      <c r="O20" s="274"/>
      <c r="P20" s="274"/>
      <c r="Q20" s="274"/>
      <c r="R20" s="269">
        <f>(G20-F20)/F20</f>
        <v>-6.4269109804456883E-3</v>
      </c>
    </row>
    <row r="21" spans="1:18" s="259" customFormat="1" ht="12.75" x14ac:dyDescent="0.2">
      <c r="A21" s="569" t="s">
        <v>0</v>
      </c>
      <c r="B21" s="488" t="s">
        <v>0</v>
      </c>
      <c r="C21" s="489" t="s">
        <v>10</v>
      </c>
      <c r="D21" s="489" t="s">
        <v>21</v>
      </c>
      <c r="E21" s="490" t="s">
        <v>741</v>
      </c>
      <c r="F21" s="490"/>
      <c r="G21" s="490"/>
      <c r="H21" s="490"/>
      <c r="I21" s="490"/>
      <c r="J21" s="499" t="s">
        <v>19</v>
      </c>
      <c r="K21" s="263" t="s">
        <v>740</v>
      </c>
      <c r="L21" s="263" t="s">
        <v>739</v>
      </c>
      <c r="M21" s="263" t="s">
        <v>35</v>
      </c>
      <c r="N21" s="291">
        <v>105</v>
      </c>
      <c r="O21" s="314">
        <v>110</v>
      </c>
      <c r="P21" s="314">
        <v>120</v>
      </c>
      <c r="Q21" s="314" t="s">
        <v>19</v>
      </c>
      <c r="R21" s="258"/>
    </row>
    <row r="22" spans="1:18" s="259" customFormat="1" ht="12.75" x14ac:dyDescent="0.2">
      <c r="A22" s="569"/>
      <c r="B22" s="488"/>
      <c r="C22" s="489"/>
      <c r="D22" s="489"/>
      <c r="E22" s="490"/>
      <c r="F22" s="490"/>
      <c r="G22" s="490"/>
      <c r="H22" s="490"/>
      <c r="I22" s="490"/>
      <c r="J22" s="499"/>
      <c r="K22" s="263" t="s">
        <v>738</v>
      </c>
      <c r="L22" s="86" t="s">
        <v>737</v>
      </c>
      <c r="M22" s="263" t="s">
        <v>35</v>
      </c>
      <c r="N22" s="314">
        <v>112</v>
      </c>
      <c r="O22" s="314">
        <v>112</v>
      </c>
      <c r="P22" s="314">
        <v>112</v>
      </c>
      <c r="Q22" s="314" t="s">
        <v>19</v>
      </c>
      <c r="R22" s="258"/>
    </row>
    <row r="23" spans="1:18" s="259" customFormat="1" ht="12.75" x14ac:dyDescent="0.2">
      <c r="A23" s="569"/>
      <c r="B23" s="488"/>
      <c r="C23" s="489"/>
      <c r="D23" s="489"/>
      <c r="E23" s="490"/>
      <c r="F23" s="490"/>
      <c r="G23" s="490"/>
      <c r="H23" s="490"/>
      <c r="I23" s="490"/>
      <c r="J23" s="499"/>
      <c r="K23" s="263" t="s">
        <v>736</v>
      </c>
      <c r="L23" s="263" t="s">
        <v>735</v>
      </c>
      <c r="M23" s="263" t="s">
        <v>35</v>
      </c>
      <c r="N23" s="291">
        <v>140</v>
      </c>
      <c r="O23" s="314">
        <v>140</v>
      </c>
      <c r="P23" s="314">
        <v>145</v>
      </c>
      <c r="Q23" s="314" t="s">
        <v>19</v>
      </c>
      <c r="R23" s="258"/>
    </row>
    <row r="24" spans="1:18" s="259" customFormat="1" ht="12.75" x14ac:dyDescent="0.2">
      <c r="A24" s="569"/>
      <c r="B24" s="488"/>
      <c r="C24" s="489"/>
      <c r="D24" s="489"/>
      <c r="E24" s="86" t="s">
        <v>14</v>
      </c>
      <c r="F24" s="31">
        <f>4935.5+1458.7</f>
        <v>6394.2</v>
      </c>
      <c r="G24" s="30">
        <v>7065.2</v>
      </c>
      <c r="H24" s="94">
        <f>ROUND(G24*Lapas1!$A$1,1)</f>
        <v>7701.1</v>
      </c>
      <c r="I24" s="94">
        <f>ROUND(H24*Lapas1!$A$2,1)</f>
        <v>8702.2000000000007</v>
      </c>
      <c r="J24" s="270"/>
      <c r="K24" s="311"/>
      <c r="L24" s="311"/>
      <c r="M24" s="312"/>
      <c r="N24" s="274"/>
      <c r="O24" s="274"/>
      <c r="P24" s="274"/>
      <c r="Q24" s="274"/>
      <c r="R24" s="313"/>
    </row>
    <row r="25" spans="1:18" s="259" customFormat="1" ht="12.75" x14ac:dyDescent="0.2">
      <c r="A25" s="569"/>
      <c r="B25" s="488"/>
      <c r="C25" s="489"/>
      <c r="D25" s="489"/>
      <c r="E25" s="86" t="s">
        <v>17</v>
      </c>
      <c r="F25" s="31">
        <f>252.6+9.4</f>
        <v>262</v>
      </c>
      <c r="G25" s="30">
        <f>286.7+65.53</f>
        <v>352.23</v>
      </c>
      <c r="H25" s="94">
        <f>ROUND(G25*Lapas1!$A$1,1)</f>
        <v>383.9</v>
      </c>
      <c r="I25" s="94">
        <f>ROUND(H25*Lapas1!$A$2,1)</f>
        <v>433.8</v>
      </c>
      <c r="J25" s="270"/>
      <c r="K25" s="311"/>
      <c r="L25" s="311"/>
      <c r="M25" s="312"/>
      <c r="N25" s="274"/>
      <c r="O25" s="274"/>
      <c r="P25" s="274"/>
      <c r="Q25" s="274"/>
      <c r="R25" s="313"/>
    </row>
    <row r="26" spans="1:18" s="259" customFormat="1" ht="12.75" x14ac:dyDescent="0.2">
      <c r="A26" s="569"/>
      <c r="B26" s="488"/>
      <c r="C26" s="489"/>
      <c r="D26" s="489"/>
      <c r="E26" s="239" t="s">
        <v>22</v>
      </c>
      <c r="F26" s="28">
        <f>SUM(F24:F25)</f>
        <v>6656.2</v>
      </c>
      <c r="G26" s="27">
        <f>SUM(G24:G25)</f>
        <v>7417.43</v>
      </c>
      <c r="H26" s="28">
        <f>SUM(H24:H25)</f>
        <v>8085</v>
      </c>
      <c r="I26" s="28">
        <f>SUM(I24:I25)</f>
        <v>9136</v>
      </c>
      <c r="J26" s="270"/>
      <c r="K26" s="311"/>
      <c r="L26" s="311"/>
      <c r="M26" s="312"/>
      <c r="N26" s="274"/>
      <c r="O26" s="274"/>
      <c r="P26" s="274"/>
      <c r="Q26" s="274"/>
      <c r="R26" s="269">
        <f>(G26-F26)/F26</f>
        <v>0.11436405156095077</v>
      </c>
    </row>
    <row r="27" spans="1:18" s="259" customFormat="1" ht="25.5" x14ac:dyDescent="0.2">
      <c r="A27" s="569" t="s">
        <v>0</v>
      </c>
      <c r="B27" s="488" t="s">
        <v>0</v>
      </c>
      <c r="C27" s="489" t="s">
        <v>24</v>
      </c>
      <c r="D27" s="489" t="s">
        <v>21</v>
      </c>
      <c r="E27" s="490" t="s">
        <v>734</v>
      </c>
      <c r="F27" s="490"/>
      <c r="G27" s="490"/>
      <c r="H27" s="490"/>
      <c r="I27" s="490"/>
      <c r="J27" s="499" t="s">
        <v>19</v>
      </c>
      <c r="K27" s="263" t="s">
        <v>733</v>
      </c>
      <c r="L27" s="263" t="s">
        <v>832</v>
      </c>
      <c r="M27" s="263" t="s">
        <v>12</v>
      </c>
      <c r="N27" s="228">
        <v>1</v>
      </c>
      <c r="O27" s="228">
        <v>1</v>
      </c>
      <c r="P27" s="228">
        <v>1</v>
      </c>
      <c r="Q27" s="228" t="s">
        <v>19</v>
      </c>
      <c r="R27" s="258"/>
    </row>
    <row r="28" spans="1:18" s="259" customFormat="1" ht="12.75" x14ac:dyDescent="0.2">
      <c r="A28" s="569"/>
      <c r="B28" s="488"/>
      <c r="C28" s="489"/>
      <c r="D28" s="489"/>
      <c r="E28" s="490"/>
      <c r="F28" s="490"/>
      <c r="G28" s="490"/>
      <c r="H28" s="490"/>
      <c r="I28" s="490"/>
      <c r="J28" s="499"/>
      <c r="K28" s="263" t="s">
        <v>732</v>
      </c>
      <c r="L28" s="263" t="s">
        <v>730</v>
      </c>
      <c r="M28" s="263" t="s">
        <v>12</v>
      </c>
      <c r="N28" s="228">
        <v>1</v>
      </c>
      <c r="O28" s="228">
        <v>1</v>
      </c>
      <c r="P28" s="228">
        <v>1</v>
      </c>
      <c r="Q28" s="228" t="s">
        <v>19</v>
      </c>
      <c r="R28" s="258"/>
    </row>
    <row r="29" spans="1:18" s="259" customFormat="1" ht="12.75" x14ac:dyDescent="0.2">
      <c r="A29" s="569"/>
      <c r="B29" s="488"/>
      <c r="C29" s="489"/>
      <c r="D29" s="489"/>
      <c r="E29" s="490"/>
      <c r="F29" s="490"/>
      <c r="G29" s="490"/>
      <c r="H29" s="490"/>
      <c r="I29" s="490"/>
      <c r="J29" s="499"/>
      <c r="K29" s="263" t="s">
        <v>731</v>
      </c>
      <c r="L29" s="86" t="s">
        <v>728</v>
      </c>
      <c r="M29" s="263" t="s">
        <v>12</v>
      </c>
      <c r="N29" s="228">
        <v>1</v>
      </c>
      <c r="O29" s="228">
        <v>1</v>
      </c>
      <c r="P29" s="228">
        <v>1</v>
      </c>
      <c r="Q29" s="228" t="s">
        <v>19</v>
      </c>
      <c r="R29" s="258"/>
    </row>
    <row r="30" spans="1:18" s="259" customFormat="1" ht="12.75" x14ac:dyDescent="0.2">
      <c r="A30" s="569"/>
      <c r="B30" s="488"/>
      <c r="C30" s="489"/>
      <c r="D30" s="489"/>
      <c r="E30" s="490"/>
      <c r="F30" s="490"/>
      <c r="G30" s="490"/>
      <c r="H30" s="490"/>
      <c r="I30" s="490"/>
      <c r="J30" s="499"/>
      <c r="K30" s="263" t="s">
        <v>729</v>
      </c>
      <c r="L30" s="259" t="s">
        <v>833</v>
      </c>
      <c r="M30" s="263" t="s">
        <v>12</v>
      </c>
      <c r="N30" s="228">
        <v>1</v>
      </c>
      <c r="O30" s="228">
        <v>1</v>
      </c>
      <c r="P30" s="228">
        <v>1</v>
      </c>
      <c r="Q30" s="228" t="s">
        <v>19</v>
      </c>
      <c r="R30" s="258"/>
    </row>
    <row r="31" spans="1:18" s="259" customFormat="1" ht="12.75" x14ac:dyDescent="0.2">
      <c r="A31" s="569"/>
      <c r="B31" s="488"/>
      <c r="C31" s="489"/>
      <c r="D31" s="489"/>
      <c r="E31" s="86" t="s">
        <v>14</v>
      </c>
      <c r="F31" s="31">
        <v>169.5</v>
      </c>
      <c r="G31" s="30">
        <v>170.1</v>
      </c>
      <c r="H31" s="94">
        <f>ROUND(G31*Lapas1!$A$1,1)</f>
        <v>185.4</v>
      </c>
      <c r="I31" s="94">
        <f>ROUND(H31*Lapas1!$A$2,1)</f>
        <v>209.5</v>
      </c>
      <c r="J31" s="270"/>
      <c r="K31" s="311"/>
      <c r="L31" s="311"/>
      <c r="M31" s="312"/>
      <c r="N31" s="274"/>
      <c r="O31" s="274"/>
      <c r="P31" s="274"/>
      <c r="Q31" s="274"/>
      <c r="R31" s="313"/>
    </row>
    <row r="32" spans="1:18" s="259" customFormat="1" ht="12.75" x14ac:dyDescent="0.2">
      <c r="A32" s="569"/>
      <c r="B32" s="488"/>
      <c r="C32" s="489"/>
      <c r="D32" s="489"/>
      <c r="E32" s="239" t="s">
        <v>22</v>
      </c>
      <c r="F32" s="28">
        <f>SUM(F31:F31)</f>
        <v>169.5</v>
      </c>
      <c r="G32" s="27">
        <f>SUM(G31:G31)</f>
        <v>170.1</v>
      </c>
      <c r="H32" s="28">
        <f>SUM(H31:H31)</f>
        <v>185.4</v>
      </c>
      <c r="I32" s="28">
        <f>SUM(I31:I31)</f>
        <v>209.5</v>
      </c>
      <c r="J32" s="270"/>
      <c r="K32" s="311"/>
      <c r="L32" s="311"/>
      <c r="M32" s="312"/>
      <c r="N32" s="274"/>
      <c r="O32" s="274"/>
      <c r="P32" s="274"/>
      <c r="Q32" s="274"/>
      <c r="R32" s="269">
        <f>(G32-F32)/F32</f>
        <v>3.5398230088495241E-3</v>
      </c>
    </row>
    <row r="33" spans="1:18" s="259" customFormat="1" ht="12.75" x14ac:dyDescent="0.2">
      <c r="A33" s="569" t="s">
        <v>0</v>
      </c>
      <c r="B33" s="488" t="s">
        <v>0</v>
      </c>
      <c r="C33" s="489" t="s">
        <v>25</v>
      </c>
      <c r="D33" s="489" t="s">
        <v>21</v>
      </c>
      <c r="E33" s="490" t="s">
        <v>727</v>
      </c>
      <c r="F33" s="490"/>
      <c r="G33" s="490"/>
      <c r="H33" s="490"/>
      <c r="I33" s="490"/>
      <c r="J33" s="499" t="s">
        <v>19</v>
      </c>
      <c r="K33" s="263" t="s">
        <v>726</v>
      </c>
      <c r="L33" s="263" t="s">
        <v>912</v>
      </c>
      <c r="M33" s="263" t="s">
        <v>12</v>
      </c>
      <c r="N33" s="228">
        <v>2520</v>
      </c>
      <c r="O33" s="228">
        <v>2574</v>
      </c>
      <c r="P33" s="228">
        <v>2635</v>
      </c>
      <c r="Q33" s="228" t="s">
        <v>19</v>
      </c>
      <c r="R33" s="258"/>
    </row>
    <row r="34" spans="1:18" s="259" customFormat="1" ht="12.75" x14ac:dyDescent="0.2">
      <c r="A34" s="569"/>
      <c r="B34" s="488"/>
      <c r="C34" s="489"/>
      <c r="D34" s="489"/>
      <c r="E34" s="490"/>
      <c r="F34" s="490"/>
      <c r="G34" s="490"/>
      <c r="H34" s="490"/>
      <c r="I34" s="490"/>
      <c r="J34" s="499"/>
      <c r="K34" s="263" t="s">
        <v>725</v>
      </c>
      <c r="L34" s="263" t="s">
        <v>724</v>
      </c>
      <c r="M34" s="263" t="s">
        <v>12</v>
      </c>
      <c r="N34" s="228">
        <v>2535</v>
      </c>
      <c r="O34" s="228">
        <v>2524</v>
      </c>
      <c r="P34" s="228">
        <v>2392</v>
      </c>
      <c r="Q34" s="228" t="s">
        <v>19</v>
      </c>
      <c r="R34" s="258"/>
    </row>
    <row r="35" spans="1:18" s="259" customFormat="1" ht="25.5" x14ac:dyDescent="0.2">
      <c r="A35" s="569"/>
      <c r="B35" s="488"/>
      <c r="C35" s="489"/>
      <c r="D35" s="489"/>
      <c r="E35" s="490"/>
      <c r="F35" s="490"/>
      <c r="G35" s="490"/>
      <c r="H35" s="490"/>
      <c r="I35" s="490"/>
      <c r="J35" s="499"/>
      <c r="K35" s="263" t="s">
        <v>723</v>
      </c>
      <c r="L35" s="263" t="s">
        <v>722</v>
      </c>
      <c r="M35" s="263" t="s">
        <v>12</v>
      </c>
      <c r="N35" s="228">
        <v>2088</v>
      </c>
      <c r="O35" s="228">
        <v>3398</v>
      </c>
      <c r="P35" s="228">
        <v>3415</v>
      </c>
      <c r="Q35" s="228" t="s">
        <v>19</v>
      </c>
      <c r="R35" s="258"/>
    </row>
    <row r="36" spans="1:18" s="259" customFormat="1" ht="12.75" x14ac:dyDescent="0.2">
      <c r="A36" s="569"/>
      <c r="B36" s="488"/>
      <c r="C36" s="489"/>
      <c r="D36" s="489"/>
      <c r="E36" s="490"/>
      <c r="F36" s="490"/>
      <c r="G36" s="490"/>
      <c r="H36" s="490"/>
      <c r="I36" s="490"/>
      <c r="J36" s="499"/>
      <c r="K36" s="263" t="s">
        <v>721</v>
      </c>
      <c r="L36" s="263" t="s">
        <v>720</v>
      </c>
      <c r="M36" s="263" t="s">
        <v>502</v>
      </c>
      <c r="N36" s="228">
        <v>39.289499999999997</v>
      </c>
      <c r="O36" s="228">
        <v>39.29</v>
      </c>
      <c r="P36" s="228">
        <v>39.29</v>
      </c>
      <c r="Q36" s="228" t="s">
        <v>19</v>
      </c>
      <c r="R36" s="258"/>
    </row>
    <row r="37" spans="1:18" s="259" customFormat="1" ht="12.75" x14ac:dyDescent="0.2">
      <c r="A37" s="569"/>
      <c r="B37" s="488"/>
      <c r="C37" s="489"/>
      <c r="D37" s="489"/>
      <c r="E37" s="490"/>
      <c r="F37" s="490"/>
      <c r="G37" s="490"/>
      <c r="H37" s="490"/>
      <c r="I37" s="490"/>
      <c r="J37" s="499"/>
      <c r="K37" s="263" t="s">
        <v>719</v>
      </c>
      <c r="L37" s="263" t="s">
        <v>718</v>
      </c>
      <c r="M37" s="263" t="s">
        <v>662</v>
      </c>
      <c r="N37" s="228">
        <v>1477.23</v>
      </c>
      <c r="O37" s="228">
        <v>1506.93</v>
      </c>
      <c r="P37" s="228">
        <v>1543.79</v>
      </c>
      <c r="Q37" s="228" t="s">
        <v>19</v>
      </c>
      <c r="R37" s="258"/>
    </row>
    <row r="38" spans="1:18" s="259" customFormat="1" ht="12.75" x14ac:dyDescent="0.2">
      <c r="A38" s="569"/>
      <c r="B38" s="488"/>
      <c r="C38" s="489"/>
      <c r="D38" s="489"/>
      <c r="E38" s="490"/>
      <c r="F38" s="490"/>
      <c r="G38" s="490"/>
      <c r="H38" s="490"/>
      <c r="I38" s="490"/>
      <c r="J38" s="499"/>
      <c r="K38" s="263" t="s">
        <v>717</v>
      </c>
      <c r="L38" s="86" t="s">
        <v>716</v>
      </c>
      <c r="M38" s="263" t="s">
        <v>502</v>
      </c>
      <c r="N38" s="228">
        <v>295.44</v>
      </c>
      <c r="O38" s="228">
        <v>303.07</v>
      </c>
      <c r="P38" s="228">
        <v>307.93</v>
      </c>
      <c r="Q38" s="228" t="s">
        <v>19</v>
      </c>
      <c r="R38" s="258"/>
    </row>
    <row r="39" spans="1:18" s="259" customFormat="1" ht="12.75" x14ac:dyDescent="0.2">
      <c r="A39" s="569"/>
      <c r="B39" s="488"/>
      <c r="C39" s="489"/>
      <c r="D39" s="489"/>
      <c r="E39" s="86" t="s">
        <v>14</v>
      </c>
      <c r="F39" s="31">
        <v>1658.3</v>
      </c>
      <c r="G39" s="30">
        <f>1742.3+2.6</f>
        <v>1744.8999999999999</v>
      </c>
      <c r="H39" s="94">
        <f>ROUND(G39*Lapas1!$A$1,1)</f>
        <v>1901.9</v>
      </c>
      <c r="I39" s="94">
        <f>ROUND(H39*Lapas1!$A$2,1)</f>
        <v>2149.1</v>
      </c>
      <c r="J39" s="270"/>
      <c r="K39" s="311"/>
      <c r="L39" s="311"/>
      <c r="M39" s="312"/>
      <c r="N39" s="274"/>
      <c r="O39" s="274"/>
      <c r="P39" s="274"/>
      <c r="Q39" s="274"/>
      <c r="R39" s="313"/>
    </row>
    <row r="40" spans="1:18" s="259" customFormat="1" ht="12.75" x14ac:dyDescent="0.2">
      <c r="A40" s="569"/>
      <c r="B40" s="488"/>
      <c r="C40" s="489"/>
      <c r="D40" s="489"/>
      <c r="E40" s="86" t="s">
        <v>17</v>
      </c>
      <c r="F40" s="31">
        <v>7.6</v>
      </c>
      <c r="G40" s="30">
        <v>3.3</v>
      </c>
      <c r="H40" s="94">
        <f>ROUND(G40*Lapas1!$A$1,1)</f>
        <v>3.6</v>
      </c>
      <c r="I40" s="94">
        <f>ROUND(H40*Lapas1!$A$2,1)</f>
        <v>4.0999999999999996</v>
      </c>
      <c r="J40" s="270"/>
      <c r="K40" s="311"/>
      <c r="L40" s="311"/>
      <c r="M40" s="312"/>
      <c r="N40" s="274"/>
      <c r="O40" s="274"/>
      <c r="P40" s="274"/>
      <c r="Q40" s="274"/>
      <c r="R40" s="313"/>
    </row>
    <row r="41" spans="1:18" s="259" customFormat="1" ht="12.75" x14ac:dyDescent="0.2">
      <c r="A41" s="569"/>
      <c r="B41" s="488"/>
      <c r="C41" s="489"/>
      <c r="D41" s="489"/>
      <c r="E41" s="239" t="s">
        <v>22</v>
      </c>
      <c r="F41" s="28">
        <f>SUM(F39:F40)</f>
        <v>1665.8999999999999</v>
      </c>
      <c r="G41" s="27">
        <f>SUM(G39:G40)</f>
        <v>1748.1999999999998</v>
      </c>
      <c r="H41" s="28">
        <f>SUM(H39:H40)</f>
        <v>1905.5</v>
      </c>
      <c r="I41" s="28">
        <f>SUM(I39:I40)</f>
        <v>2153.1999999999998</v>
      </c>
      <c r="J41" s="270"/>
      <c r="K41" s="311"/>
      <c r="L41" s="311"/>
      <c r="M41" s="312"/>
      <c r="N41" s="274"/>
      <c r="O41" s="274"/>
      <c r="P41" s="274"/>
      <c r="Q41" s="274"/>
      <c r="R41" s="269">
        <f>(G41-F41)/F41</f>
        <v>4.9402725253616643E-2</v>
      </c>
    </row>
    <row r="42" spans="1:18" s="259" customFormat="1" ht="25.5" x14ac:dyDescent="0.2">
      <c r="A42" s="569" t="s">
        <v>0</v>
      </c>
      <c r="B42" s="488" t="s">
        <v>0</v>
      </c>
      <c r="C42" s="489" t="s">
        <v>26</v>
      </c>
      <c r="D42" s="489" t="s">
        <v>21</v>
      </c>
      <c r="E42" s="490" t="s">
        <v>715</v>
      </c>
      <c r="F42" s="490"/>
      <c r="G42" s="490"/>
      <c r="H42" s="490"/>
      <c r="I42" s="490"/>
      <c r="J42" s="499" t="s">
        <v>19</v>
      </c>
      <c r="K42" s="86" t="s">
        <v>714</v>
      </c>
      <c r="L42" s="86" t="s">
        <v>713</v>
      </c>
      <c r="M42" s="263" t="s">
        <v>12</v>
      </c>
      <c r="N42" s="228">
        <v>46.5</v>
      </c>
      <c r="O42" s="228">
        <v>46.5</v>
      </c>
      <c r="P42" s="228">
        <v>46.5</v>
      </c>
      <c r="Q42" s="228" t="s">
        <v>19</v>
      </c>
      <c r="R42" s="258"/>
    </row>
    <row r="43" spans="1:18" s="259" customFormat="1" ht="25.5" x14ac:dyDescent="0.2">
      <c r="A43" s="569"/>
      <c r="B43" s="488"/>
      <c r="C43" s="489"/>
      <c r="D43" s="489"/>
      <c r="E43" s="490"/>
      <c r="F43" s="490"/>
      <c r="G43" s="490"/>
      <c r="H43" s="490"/>
      <c r="I43" s="490"/>
      <c r="J43" s="499"/>
      <c r="K43" s="86" t="s">
        <v>712</v>
      </c>
      <c r="L43" s="263" t="s">
        <v>711</v>
      </c>
      <c r="M43" s="263" t="s">
        <v>12</v>
      </c>
      <c r="N43" s="228">
        <v>1.25</v>
      </c>
      <c r="O43" s="228">
        <v>1.25</v>
      </c>
      <c r="P43" s="228">
        <v>1.25</v>
      </c>
      <c r="Q43" s="228" t="s">
        <v>19</v>
      </c>
      <c r="R43" s="258"/>
    </row>
    <row r="44" spans="1:18" s="259" customFormat="1" ht="12.75" x14ac:dyDescent="0.2">
      <c r="A44" s="569"/>
      <c r="B44" s="488"/>
      <c r="C44" s="489"/>
      <c r="D44" s="489"/>
      <c r="E44" s="86" t="s">
        <v>14</v>
      </c>
      <c r="F44" s="31">
        <v>1227.0999999999999</v>
      </c>
      <c r="G44" s="30">
        <f>1319.1+3.7</f>
        <v>1322.8</v>
      </c>
      <c r="H44" s="94">
        <f>ROUND(G44*Lapas1!$A$1,1)</f>
        <v>1441.9</v>
      </c>
      <c r="I44" s="94">
        <f>ROUND(H44*Lapas1!$A$2,1)</f>
        <v>1629.3</v>
      </c>
      <c r="J44" s="270"/>
      <c r="K44" s="311"/>
      <c r="L44" s="311"/>
      <c r="M44" s="312"/>
      <c r="N44" s="274"/>
      <c r="O44" s="274"/>
      <c r="P44" s="274"/>
      <c r="Q44" s="274"/>
      <c r="R44" s="313"/>
    </row>
    <row r="45" spans="1:18" s="259" customFormat="1" ht="12.75" x14ac:dyDescent="0.2">
      <c r="A45" s="569"/>
      <c r="B45" s="488"/>
      <c r="C45" s="489"/>
      <c r="D45" s="489"/>
      <c r="E45" s="86" t="s">
        <v>17</v>
      </c>
      <c r="F45" s="31">
        <v>2.7</v>
      </c>
      <c r="G45" s="30">
        <v>2.2000000000000002</v>
      </c>
      <c r="H45" s="94">
        <f>ROUND(G45*Lapas1!$A$1,1)</f>
        <v>2.4</v>
      </c>
      <c r="I45" s="94">
        <f>ROUND(H45*Lapas1!$A$2,1)</f>
        <v>2.7</v>
      </c>
      <c r="J45" s="270"/>
      <c r="K45" s="311"/>
      <c r="L45" s="311"/>
      <c r="M45" s="312"/>
      <c r="N45" s="274"/>
      <c r="O45" s="274"/>
      <c r="P45" s="274"/>
      <c r="Q45" s="274"/>
      <c r="R45" s="313"/>
    </row>
    <row r="46" spans="1:18" s="259" customFormat="1" ht="12.75" x14ac:dyDescent="0.2">
      <c r="A46" s="569"/>
      <c r="B46" s="488"/>
      <c r="C46" s="489"/>
      <c r="D46" s="489"/>
      <c r="E46" s="86" t="s">
        <v>15</v>
      </c>
      <c r="F46" s="31">
        <v>36.6</v>
      </c>
      <c r="G46" s="30">
        <v>35.9</v>
      </c>
      <c r="H46" s="94">
        <f>ROUND(G46*Lapas1!$A$1,1)</f>
        <v>39.1</v>
      </c>
      <c r="I46" s="94">
        <f>ROUND(H46*Lapas1!$A$2,1)</f>
        <v>44.2</v>
      </c>
      <c r="J46" s="270"/>
      <c r="K46" s="311"/>
      <c r="L46" s="311"/>
      <c r="M46" s="312"/>
      <c r="N46" s="274"/>
      <c r="O46" s="274"/>
      <c r="P46" s="274"/>
      <c r="Q46" s="274"/>
      <c r="R46" s="313"/>
    </row>
    <row r="47" spans="1:18" s="259" customFormat="1" ht="12.75" x14ac:dyDescent="0.2">
      <c r="A47" s="569"/>
      <c r="B47" s="488"/>
      <c r="C47" s="489"/>
      <c r="D47" s="489"/>
      <c r="E47" s="239" t="s">
        <v>22</v>
      </c>
      <c r="F47" s="28">
        <f>SUM(F44:F46)</f>
        <v>1266.3999999999999</v>
      </c>
      <c r="G47" s="27">
        <f>SUM(G44:G46)</f>
        <v>1360.9</v>
      </c>
      <c r="H47" s="28">
        <f>SUM(H44:H46)</f>
        <v>1483.4</v>
      </c>
      <c r="I47" s="28">
        <f>SUM(I44:I46)</f>
        <v>1676.2</v>
      </c>
      <c r="J47" s="270"/>
      <c r="K47" s="311"/>
      <c r="L47" s="311"/>
      <c r="M47" s="312"/>
      <c r="N47" s="274"/>
      <c r="O47" s="274"/>
      <c r="P47" s="274"/>
      <c r="Q47" s="274"/>
      <c r="R47" s="269">
        <f>(G47-F47)/F47</f>
        <v>7.4620972836386801E-2</v>
      </c>
    </row>
    <row r="48" spans="1:18" s="259" customFormat="1" ht="13.5" x14ac:dyDescent="0.2">
      <c r="A48" s="569" t="s">
        <v>0</v>
      </c>
      <c r="B48" s="488" t="s">
        <v>0</v>
      </c>
      <c r="C48" s="489" t="s">
        <v>27</v>
      </c>
      <c r="D48" s="489" t="s">
        <v>21</v>
      </c>
      <c r="E48" s="490" t="s">
        <v>710</v>
      </c>
      <c r="F48" s="490"/>
      <c r="G48" s="490"/>
      <c r="H48" s="490"/>
      <c r="I48" s="490"/>
      <c r="J48" s="262" t="s">
        <v>19</v>
      </c>
      <c r="K48" s="86" t="s">
        <v>709</v>
      </c>
      <c r="L48" s="86" t="s">
        <v>708</v>
      </c>
      <c r="M48" s="263" t="s">
        <v>35</v>
      </c>
      <c r="N48" s="228">
        <v>16</v>
      </c>
      <c r="O48" s="228">
        <v>16</v>
      </c>
      <c r="P48" s="228">
        <v>16</v>
      </c>
      <c r="Q48" s="228" t="s">
        <v>19</v>
      </c>
      <c r="R48" s="258"/>
    </row>
    <row r="49" spans="1:18" s="259" customFormat="1" ht="12.75" x14ac:dyDescent="0.2">
      <c r="A49" s="569"/>
      <c r="B49" s="488"/>
      <c r="C49" s="489"/>
      <c r="D49" s="489"/>
      <c r="E49" s="86" t="s">
        <v>14</v>
      </c>
      <c r="F49" s="31">
        <v>110</v>
      </c>
      <c r="G49" s="30">
        <v>130</v>
      </c>
      <c r="H49" s="94">
        <f>ROUND(G49*Lapas1!$A$1,1)</f>
        <v>141.69999999999999</v>
      </c>
      <c r="I49" s="94">
        <f>ROUND(H49*Lapas1!$A$2,1)</f>
        <v>160.1</v>
      </c>
      <c r="J49" s="270"/>
      <c r="K49" s="311"/>
      <c r="L49" s="311"/>
      <c r="M49" s="312"/>
      <c r="N49" s="274"/>
      <c r="O49" s="274"/>
      <c r="P49" s="274"/>
      <c r="Q49" s="274"/>
      <c r="R49" s="313"/>
    </row>
    <row r="50" spans="1:18" s="259" customFormat="1" ht="12.75" x14ac:dyDescent="0.2">
      <c r="A50" s="569"/>
      <c r="B50" s="488"/>
      <c r="C50" s="489"/>
      <c r="D50" s="489"/>
      <c r="E50" s="239" t="s">
        <v>22</v>
      </c>
      <c r="F50" s="28">
        <f>SUM(F49:F49)</f>
        <v>110</v>
      </c>
      <c r="G50" s="27">
        <f>SUM(G49:G49)</f>
        <v>130</v>
      </c>
      <c r="H50" s="28">
        <f>SUM(H49:H49)</f>
        <v>141.69999999999999</v>
      </c>
      <c r="I50" s="28">
        <f>SUM(I49:I49)</f>
        <v>160.1</v>
      </c>
      <c r="J50" s="270"/>
      <c r="K50" s="311"/>
      <c r="L50" s="311"/>
      <c r="M50" s="312"/>
      <c r="N50" s="274"/>
      <c r="O50" s="274"/>
      <c r="P50" s="274"/>
      <c r="Q50" s="274"/>
      <c r="R50" s="269">
        <f>(G50-F50)/F50</f>
        <v>0.18181818181818182</v>
      </c>
    </row>
    <row r="51" spans="1:18" s="259" customFormat="1" ht="12.75" x14ac:dyDescent="0.2">
      <c r="A51" s="283" t="s">
        <v>0</v>
      </c>
      <c r="B51" s="275" t="s">
        <v>0</v>
      </c>
      <c r="C51" s="249"/>
      <c r="D51" s="276" t="s">
        <v>31</v>
      </c>
      <c r="E51" s="277" t="s">
        <v>238</v>
      </c>
      <c r="F51" s="40">
        <f>F20+F26+F32+F41+F47+F50</f>
        <v>10599.3</v>
      </c>
      <c r="G51" s="39">
        <f>G20+G26+G32+G41+G47+G50</f>
        <v>11553.230000000001</v>
      </c>
      <c r="H51" s="40">
        <f>H20+H26+H32+H41+H47+H50</f>
        <v>12593</v>
      </c>
      <c r="I51" s="40">
        <f>I20+I26+I32+I41+I47+I50</f>
        <v>14230.000000000002</v>
      </c>
      <c r="J51" s="278"/>
      <c r="K51" s="279"/>
      <c r="L51" s="279"/>
      <c r="M51" s="279"/>
      <c r="N51" s="280"/>
      <c r="O51" s="280"/>
      <c r="P51" s="280"/>
      <c r="Q51" s="280"/>
      <c r="R51" s="258"/>
    </row>
    <row r="52" spans="1:18" s="259" customFormat="1" ht="12.75" x14ac:dyDescent="0.2">
      <c r="A52" s="256" t="s">
        <v>0</v>
      </c>
      <c r="B52" s="275" t="s">
        <v>10</v>
      </c>
      <c r="C52" s="249"/>
      <c r="D52" s="77" t="s">
        <v>31</v>
      </c>
      <c r="E52" s="529" t="s">
        <v>707</v>
      </c>
      <c r="F52" s="529"/>
      <c r="G52" s="529"/>
      <c r="H52" s="529"/>
      <c r="I52" s="529"/>
      <c r="J52" s="77" t="s">
        <v>19</v>
      </c>
      <c r="K52" s="260" t="s">
        <v>706</v>
      </c>
      <c r="L52" s="260" t="s">
        <v>705</v>
      </c>
      <c r="M52" s="260" t="s">
        <v>11</v>
      </c>
      <c r="N52" s="249">
        <v>100</v>
      </c>
      <c r="O52" s="249">
        <v>100</v>
      </c>
      <c r="P52" s="249">
        <v>100</v>
      </c>
      <c r="Q52" s="249" t="s">
        <v>19</v>
      </c>
      <c r="R52" s="258"/>
    </row>
    <row r="53" spans="1:18" s="259" customFormat="1" ht="25.5" x14ac:dyDescent="0.2">
      <c r="A53" s="486" t="s">
        <v>0</v>
      </c>
      <c r="B53" s="543" t="s">
        <v>10</v>
      </c>
      <c r="C53" s="489" t="s">
        <v>0</v>
      </c>
      <c r="D53" s="489" t="s">
        <v>21</v>
      </c>
      <c r="E53" s="490" t="s">
        <v>704</v>
      </c>
      <c r="F53" s="490"/>
      <c r="G53" s="490"/>
      <c r="H53" s="490"/>
      <c r="I53" s="490"/>
      <c r="J53" s="262" t="s">
        <v>19</v>
      </c>
      <c r="K53" s="86" t="s">
        <v>703</v>
      </c>
      <c r="L53" s="86" t="s">
        <v>702</v>
      </c>
      <c r="M53" s="263" t="s">
        <v>12</v>
      </c>
      <c r="N53" s="228">
        <v>31</v>
      </c>
      <c r="O53" s="228">
        <v>31</v>
      </c>
      <c r="P53" s="228">
        <v>31</v>
      </c>
      <c r="Q53" s="228" t="s">
        <v>19</v>
      </c>
      <c r="R53" s="258"/>
    </row>
    <row r="54" spans="1:18" s="259" customFormat="1" ht="12.75" x14ac:dyDescent="0.2">
      <c r="A54" s="486"/>
      <c r="B54" s="543"/>
      <c r="C54" s="489"/>
      <c r="D54" s="489"/>
      <c r="E54" s="86" t="s">
        <v>15</v>
      </c>
      <c r="F54" s="31">
        <v>0.2</v>
      </c>
      <c r="G54" s="30">
        <v>0.2</v>
      </c>
      <c r="H54" s="94">
        <f>ROUND(G54*Lapas1!$A$1,1)</f>
        <v>0.2</v>
      </c>
      <c r="I54" s="94">
        <f>ROUND(H54*Lapas1!$A$2,1)</f>
        <v>0.2</v>
      </c>
      <c r="J54" s="270"/>
      <c r="K54" s="311"/>
      <c r="L54" s="311"/>
      <c r="M54" s="312"/>
      <c r="N54" s="274"/>
      <c r="O54" s="274"/>
      <c r="P54" s="274"/>
      <c r="Q54" s="274"/>
      <c r="R54" s="313"/>
    </row>
    <row r="55" spans="1:18" s="259" customFormat="1" ht="12.75" x14ac:dyDescent="0.2">
      <c r="A55" s="486"/>
      <c r="B55" s="543"/>
      <c r="C55" s="489"/>
      <c r="D55" s="489"/>
      <c r="E55" s="239" t="s">
        <v>22</v>
      </c>
      <c r="F55" s="28">
        <f>SUM(F54:F54)</f>
        <v>0.2</v>
      </c>
      <c r="G55" s="27">
        <f>SUM(G54:G54)</f>
        <v>0.2</v>
      </c>
      <c r="H55" s="28">
        <f>SUM(H54:H54)</f>
        <v>0.2</v>
      </c>
      <c r="I55" s="28">
        <f>SUM(I54:I54)</f>
        <v>0.2</v>
      </c>
      <c r="J55" s="270"/>
      <c r="K55" s="311"/>
      <c r="L55" s="311"/>
      <c r="M55" s="312"/>
      <c r="N55" s="274"/>
      <c r="O55" s="274"/>
      <c r="P55" s="274"/>
      <c r="Q55" s="274"/>
      <c r="R55" s="269">
        <f>(G55-F55)/F55</f>
        <v>0</v>
      </c>
    </row>
    <row r="56" spans="1:18" s="259" customFormat="1" ht="25.5" x14ac:dyDescent="0.2">
      <c r="A56" s="486" t="s">
        <v>0</v>
      </c>
      <c r="B56" s="543" t="s">
        <v>10</v>
      </c>
      <c r="C56" s="489" t="s">
        <v>10</v>
      </c>
      <c r="D56" s="489" t="s">
        <v>21</v>
      </c>
      <c r="E56" s="490" t="s">
        <v>701</v>
      </c>
      <c r="F56" s="490"/>
      <c r="G56" s="490"/>
      <c r="H56" s="490"/>
      <c r="I56" s="490"/>
      <c r="J56" s="262" t="s">
        <v>19</v>
      </c>
      <c r="K56" s="86" t="s">
        <v>700</v>
      </c>
      <c r="L56" s="86" t="s">
        <v>699</v>
      </c>
      <c r="M56" s="263" t="s">
        <v>11</v>
      </c>
      <c r="N56" s="228">
        <v>75</v>
      </c>
      <c r="O56" s="228">
        <v>80</v>
      </c>
      <c r="P56" s="228">
        <v>85</v>
      </c>
      <c r="Q56" s="228" t="s">
        <v>19</v>
      </c>
      <c r="R56" s="258"/>
    </row>
    <row r="57" spans="1:18" s="259" customFormat="1" ht="12.75" x14ac:dyDescent="0.2">
      <c r="A57" s="486"/>
      <c r="B57" s="543"/>
      <c r="C57" s="489"/>
      <c r="D57" s="489"/>
      <c r="E57" s="86" t="s">
        <v>15</v>
      </c>
      <c r="F57" s="31">
        <v>17.2</v>
      </c>
      <c r="G57" s="30">
        <v>63.1</v>
      </c>
      <c r="H57" s="94">
        <f>ROUND(G57*Lapas1!$A$1,1)</f>
        <v>68.8</v>
      </c>
      <c r="I57" s="94">
        <f>ROUND(H57*Lapas1!$A$2,1)</f>
        <v>77.7</v>
      </c>
      <c r="J57" s="270"/>
      <c r="K57" s="311"/>
      <c r="L57" s="311"/>
      <c r="M57" s="312"/>
      <c r="N57" s="274"/>
      <c r="O57" s="274"/>
      <c r="P57" s="274"/>
      <c r="Q57" s="274"/>
      <c r="R57" s="313"/>
    </row>
    <row r="58" spans="1:18" s="259" customFormat="1" ht="12.75" x14ac:dyDescent="0.2">
      <c r="A58" s="486"/>
      <c r="B58" s="543"/>
      <c r="C58" s="489"/>
      <c r="D58" s="489"/>
      <c r="E58" s="239" t="s">
        <v>22</v>
      </c>
      <c r="F58" s="28">
        <f>SUM(F57:F57)</f>
        <v>17.2</v>
      </c>
      <c r="G58" s="27">
        <f>SUM(G57:G57)</f>
        <v>63.1</v>
      </c>
      <c r="H58" s="28">
        <f>SUM(H57:H57)</f>
        <v>68.8</v>
      </c>
      <c r="I58" s="28">
        <f>SUM(I57:I57)</f>
        <v>77.7</v>
      </c>
      <c r="J58" s="270"/>
      <c r="K58" s="311"/>
      <c r="L58" s="311"/>
      <c r="M58" s="312"/>
      <c r="N58" s="274"/>
      <c r="O58" s="274"/>
      <c r="P58" s="274"/>
      <c r="Q58" s="274"/>
      <c r="R58" s="269">
        <f>(G58-F58)/F58</f>
        <v>2.668604651162791</v>
      </c>
    </row>
    <row r="59" spans="1:18" s="259" customFormat="1" ht="25.5" x14ac:dyDescent="0.2">
      <c r="A59" s="486" t="s">
        <v>0</v>
      </c>
      <c r="B59" s="543" t="s">
        <v>10</v>
      </c>
      <c r="C59" s="489" t="s">
        <v>24</v>
      </c>
      <c r="D59" s="489" t="s">
        <v>21</v>
      </c>
      <c r="E59" s="490" t="s">
        <v>698</v>
      </c>
      <c r="F59" s="490"/>
      <c r="G59" s="490"/>
      <c r="H59" s="490"/>
      <c r="I59" s="490"/>
      <c r="J59" s="262" t="s">
        <v>19</v>
      </c>
      <c r="K59" s="86" t="s">
        <v>697</v>
      </c>
      <c r="L59" s="86" t="s">
        <v>696</v>
      </c>
      <c r="M59" s="263" t="s">
        <v>12</v>
      </c>
      <c r="N59" s="228">
        <v>1</v>
      </c>
      <c r="O59" s="228">
        <v>1</v>
      </c>
      <c r="P59" s="228">
        <v>1</v>
      </c>
      <c r="Q59" s="228" t="s">
        <v>19</v>
      </c>
      <c r="R59" s="258"/>
    </row>
    <row r="60" spans="1:18" s="259" customFormat="1" ht="12.75" x14ac:dyDescent="0.2">
      <c r="A60" s="486"/>
      <c r="B60" s="543"/>
      <c r="C60" s="489"/>
      <c r="D60" s="489"/>
      <c r="E60" s="86" t="s">
        <v>15</v>
      </c>
      <c r="F60" s="31">
        <v>8</v>
      </c>
      <c r="G60" s="30">
        <v>8</v>
      </c>
      <c r="H60" s="94">
        <f>ROUND(G60*Lapas1!$A$1,1)</f>
        <v>8.6999999999999993</v>
      </c>
      <c r="I60" s="94">
        <f>ROUND(H60*Lapas1!$A$2,1)</f>
        <v>9.8000000000000007</v>
      </c>
      <c r="J60" s="270"/>
      <c r="K60" s="311"/>
      <c r="L60" s="311"/>
      <c r="M60" s="312"/>
      <c r="N60" s="274"/>
      <c r="O60" s="274"/>
      <c r="P60" s="274"/>
      <c r="Q60" s="274"/>
      <c r="R60" s="313"/>
    </row>
    <row r="61" spans="1:18" s="259" customFormat="1" ht="12.75" x14ac:dyDescent="0.2">
      <c r="A61" s="486"/>
      <c r="B61" s="543"/>
      <c r="C61" s="489"/>
      <c r="D61" s="489"/>
      <c r="E61" s="239" t="s">
        <v>22</v>
      </c>
      <c r="F61" s="28">
        <f>SUM(F60:F60)</f>
        <v>8</v>
      </c>
      <c r="G61" s="27">
        <f>SUM(G60:G60)</f>
        <v>8</v>
      </c>
      <c r="H61" s="28">
        <f>SUM(H60:H60)</f>
        <v>8.6999999999999993</v>
      </c>
      <c r="I61" s="28">
        <f>SUM(I60:I60)</f>
        <v>9.8000000000000007</v>
      </c>
      <c r="J61" s="270"/>
      <c r="K61" s="311"/>
      <c r="L61" s="311"/>
      <c r="M61" s="312"/>
      <c r="N61" s="274"/>
      <c r="O61" s="274"/>
      <c r="P61" s="274"/>
      <c r="Q61" s="274"/>
      <c r="R61" s="269">
        <f>(G61-F61)/F61</f>
        <v>0</v>
      </c>
    </row>
    <row r="62" spans="1:18" s="259" customFormat="1" ht="25.5" x14ac:dyDescent="0.2">
      <c r="A62" s="486" t="s">
        <v>0</v>
      </c>
      <c r="B62" s="543" t="s">
        <v>10</v>
      </c>
      <c r="C62" s="489" t="s">
        <v>25</v>
      </c>
      <c r="D62" s="489" t="s">
        <v>21</v>
      </c>
      <c r="E62" s="490" t="s">
        <v>695</v>
      </c>
      <c r="F62" s="490"/>
      <c r="G62" s="490"/>
      <c r="H62" s="490"/>
      <c r="I62" s="490"/>
      <c r="J62" s="499" t="s">
        <v>19</v>
      </c>
      <c r="K62" s="86" t="s">
        <v>694</v>
      </c>
      <c r="L62" s="86" t="s">
        <v>834</v>
      </c>
      <c r="M62" s="263" t="s">
        <v>12</v>
      </c>
      <c r="N62" s="228">
        <v>1900</v>
      </c>
      <c r="O62" s="228">
        <v>1900</v>
      </c>
      <c r="P62" s="228">
        <v>1000</v>
      </c>
      <c r="Q62" s="228" t="s">
        <v>19</v>
      </c>
      <c r="R62" s="258"/>
    </row>
    <row r="63" spans="1:18" s="259" customFormat="1" ht="12.75" x14ac:dyDescent="0.2">
      <c r="A63" s="486"/>
      <c r="B63" s="543"/>
      <c r="C63" s="489"/>
      <c r="D63" s="489"/>
      <c r="E63" s="490"/>
      <c r="F63" s="490"/>
      <c r="G63" s="490"/>
      <c r="H63" s="490"/>
      <c r="I63" s="490"/>
      <c r="J63" s="499"/>
      <c r="K63" s="86" t="s">
        <v>693</v>
      </c>
      <c r="L63" s="86" t="s">
        <v>659</v>
      </c>
      <c r="M63" s="263" t="s">
        <v>12</v>
      </c>
      <c r="N63" s="228">
        <v>100</v>
      </c>
      <c r="O63" s="228">
        <v>100</v>
      </c>
      <c r="P63" s="228">
        <v>100</v>
      </c>
      <c r="Q63" s="228" t="s">
        <v>19</v>
      </c>
      <c r="R63" s="258"/>
    </row>
    <row r="64" spans="1:18" s="259" customFormat="1" ht="12.75" x14ac:dyDescent="0.2">
      <c r="A64" s="486"/>
      <c r="B64" s="543"/>
      <c r="C64" s="489"/>
      <c r="D64" s="489"/>
      <c r="E64" s="490"/>
      <c r="F64" s="490"/>
      <c r="G64" s="490"/>
      <c r="H64" s="490"/>
      <c r="I64" s="490"/>
      <c r="J64" s="499"/>
      <c r="K64" s="86" t="s">
        <v>692</v>
      </c>
      <c r="L64" s="86" t="s">
        <v>691</v>
      </c>
      <c r="M64" s="263" t="s">
        <v>12</v>
      </c>
      <c r="N64" s="228">
        <v>1800</v>
      </c>
      <c r="O64" s="228">
        <v>1800</v>
      </c>
      <c r="P64" s="228">
        <v>1000</v>
      </c>
      <c r="Q64" s="228" t="s">
        <v>19</v>
      </c>
      <c r="R64" s="258"/>
    </row>
    <row r="65" spans="1:18" s="259" customFormat="1" ht="12.75" x14ac:dyDescent="0.2">
      <c r="A65" s="486"/>
      <c r="B65" s="543"/>
      <c r="C65" s="489"/>
      <c r="D65" s="489"/>
      <c r="E65" s="86" t="s">
        <v>15</v>
      </c>
      <c r="F65" s="31">
        <v>29</v>
      </c>
      <c r="G65" s="30">
        <v>29</v>
      </c>
      <c r="H65" s="94">
        <f>ROUND(G65*Lapas1!$A$1,1)</f>
        <v>31.6</v>
      </c>
      <c r="I65" s="94">
        <f>ROUND(H65*Lapas1!$A$2,1)</f>
        <v>35.700000000000003</v>
      </c>
      <c r="J65" s="270"/>
      <c r="K65" s="311"/>
      <c r="L65" s="311"/>
      <c r="M65" s="312"/>
      <c r="N65" s="274"/>
      <c r="O65" s="274"/>
      <c r="P65" s="274"/>
      <c r="Q65" s="274"/>
      <c r="R65" s="313"/>
    </row>
    <row r="66" spans="1:18" s="259" customFormat="1" ht="12.75" x14ac:dyDescent="0.2">
      <c r="A66" s="486"/>
      <c r="B66" s="543"/>
      <c r="C66" s="489"/>
      <c r="D66" s="489"/>
      <c r="E66" s="239" t="s">
        <v>22</v>
      </c>
      <c r="F66" s="28">
        <f>SUM(F65:F65)</f>
        <v>29</v>
      </c>
      <c r="G66" s="27">
        <f>SUM(G65:G65)</f>
        <v>29</v>
      </c>
      <c r="H66" s="28">
        <f>SUM(H65:H65)</f>
        <v>31.6</v>
      </c>
      <c r="I66" s="28">
        <f>SUM(I65:I65)</f>
        <v>35.700000000000003</v>
      </c>
      <c r="J66" s="270"/>
      <c r="K66" s="311"/>
      <c r="L66" s="311"/>
      <c r="M66" s="312"/>
      <c r="N66" s="274"/>
      <c r="O66" s="274"/>
      <c r="P66" s="274"/>
      <c r="Q66" s="274"/>
      <c r="R66" s="269">
        <f>(G66-F66)/F66</f>
        <v>0</v>
      </c>
    </row>
    <row r="67" spans="1:18" s="259" customFormat="1" ht="13.5" x14ac:dyDescent="0.2">
      <c r="A67" s="486" t="s">
        <v>0</v>
      </c>
      <c r="B67" s="543" t="s">
        <v>10</v>
      </c>
      <c r="C67" s="489" t="s">
        <v>26</v>
      </c>
      <c r="D67" s="489" t="s">
        <v>21</v>
      </c>
      <c r="E67" s="490" t="s">
        <v>690</v>
      </c>
      <c r="F67" s="490"/>
      <c r="G67" s="490"/>
      <c r="H67" s="490"/>
      <c r="I67" s="490"/>
      <c r="J67" s="262" t="s">
        <v>19</v>
      </c>
      <c r="K67" s="86" t="s">
        <v>689</v>
      </c>
      <c r="L67" s="86" t="s">
        <v>688</v>
      </c>
      <c r="M67" s="263" t="s">
        <v>12</v>
      </c>
      <c r="N67" s="228">
        <v>300</v>
      </c>
      <c r="O67" s="228">
        <v>310</v>
      </c>
      <c r="P67" s="228">
        <v>330</v>
      </c>
      <c r="Q67" s="228" t="s">
        <v>19</v>
      </c>
      <c r="R67" s="258"/>
    </row>
    <row r="68" spans="1:18" s="259" customFormat="1" ht="12.75" x14ac:dyDescent="0.2">
      <c r="A68" s="486"/>
      <c r="B68" s="543"/>
      <c r="C68" s="489"/>
      <c r="D68" s="489"/>
      <c r="E68" s="86" t="s">
        <v>15</v>
      </c>
      <c r="F68" s="31">
        <v>8.2200000000000006</v>
      </c>
      <c r="G68" s="30">
        <v>8.64</v>
      </c>
      <c r="H68" s="94">
        <f>ROUND(G68*Lapas1!$A$1,1)</f>
        <v>9.4</v>
      </c>
      <c r="I68" s="94">
        <f>ROUND(H68*Lapas1!$A$2,1)</f>
        <v>10.6</v>
      </c>
      <c r="J68" s="270"/>
      <c r="K68" s="311"/>
      <c r="L68" s="311"/>
      <c r="M68" s="312"/>
      <c r="N68" s="274"/>
      <c r="O68" s="274"/>
      <c r="P68" s="274"/>
      <c r="Q68" s="274"/>
      <c r="R68" s="313"/>
    </row>
    <row r="69" spans="1:18" s="259" customFormat="1" ht="12.75" x14ac:dyDescent="0.2">
      <c r="A69" s="486"/>
      <c r="B69" s="543"/>
      <c r="C69" s="489"/>
      <c r="D69" s="489"/>
      <c r="E69" s="239" t="s">
        <v>22</v>
      </c>
      <c r="F69" s="28">
        <f>SUM(F68:F68)</f>
        <v>8.2200000000000006</v>
      </c>
      <c r="G69" s="27">
        <f>SUM(G68:G68)</f>
        <v>8.64</v>
      </c>
      <c r="H69" s="28">
        <f>SUM(H68:H68)</f>
        <v>9.4</v>
      </c>
      <c r="I69" s="28">
        <f>SUM(I68:I68)</f>
        <v>10.6</v>
      </c>
      <c r="J69" s="270"/>
      <c r="K69" s="311"/>
      <c r="L69" s="311"/>
      <c r="M69" s="312"/>
      <c r="N69" s="274"/>
      <c r="O69" s="274"/>
      <c r="P69" s="274"/>
      <c r="Q69" s="274"/>
      <c r="R69" s="269">
        <f>(G69-F69)/F69</f>
        <v>5.1094890510948891E-2</v>
      </c>
    </row>
    <row r="70" spans="1:18" s="259" customFormat="1" ht="13.5" x14ac:dyDescent="0.2">
      <c r="A70" s="486" t="s">
        <v>0</v>
      </c>
      <c r="B70" s="543" t="s">
        <v>10</v>
      </c>
      <c r="C70" s="489" t="s">
        <v>27</v>
      </c>
      <c r="D70" s="489" t="s">
        <v>21</v>
      </c>
      <c r="E70" s="490" t="s">
        <v>687</v>
      </c>
      <c r="F70" s="490"/>
      <c r="G70" s="490"/>
      <c r="H70" s="490"/>
      <c r="I70" s="490"/>
      <c r="J70" s="262" t="s">
        <v>19</v>
      </c>
      <c r="K70" s="86" t="s">
        <v>686</v>
      </c>
      <c r="L70" s="86" t="s">
        <v>685</v>
      </c>
      <c r="M70" s="263" t="s">
        <v>12</v>
      </c>
      <c r="N70" s="228">
        <v>500</v>
      </c>
      <c r="O70" s="228">
        <v>500</v>
      </c>
      <c r="P70" s="228">
        <v>500</v>
      </c>
      <c r="Q70" s="228" t="s">
        <v>19</v>
      </c>
      <c r="R70" s="258"/>
    </row>
    <row r="71" spans="1:18" s="259" customFormat="1" ht="12.75" x14ac:dyDescent="0.2">
      <c r="A71" s="486"/>
      <c r="B71" s="543"/>
      <c r="C71" s="489"/>
      <c r="D71" s="489"/>
      <c r="E71" s="86" t="s">
        <v>15</v>
      </c>
      <c r="F71" s="31">
        <v>0.57999999999999996</v>
      </c>
      <c r="G71" s="30">
        <v>0.6</v>
      </c>
      <c r="H71" s="94">
        <f>ROUND(G71*Lapas1!$A$1,1)</f>
        <v>0.7</v>
      </c>
      <c r="I71" s="94">
        <f>ROUND(H71*Lapas1!$A$2,1)</f>
        <v>0.8</v>
      </c>
      <c r="J71" s="270"/>
      <c r="K71" s="311"/>
      <c r="L71" s="311"/>
      <c r="M71" s="312"/>
      <c r="N71" s="274"/>
      <c r="O71" s="274"/>
      <c r="P71" s="274"/>
      <c r="Q71" s="274"/>
      <c r="R71" s="313"/>
    </row>
    <row r="72" spans="1:18" s="259" customFormat="1" ht="12.75" x14ac:dyDescent="0.2">
      <c r="A72" s="486"/>
      <c r="B72" s="543"/>
      <c r="C72" s="489"/>
      <c r="D72" s="489"/>
      <c r="E72" s="239" t="s">
        <v>22</v>
      </c>
      <c r="F72" s="28">
        <f>SUM(F71:F71)</f>
        <v>0.57999999999999996</v>
      </c>
      <c r="G72" s="27">
        <f>SUM(G71:G71)</f>
        <v>0.6</v>
      </c>
      <c r="H72" s="28">
        <f>SUM(H71:H71)</f>
        <v>0.7</v>
      </c>
      <c r="I72" s="28">
        <f>SUM(I71:I71)</f>
        <v>0.8</v>
      </c>
      <c r="J72" s="270"/>
      <c r="K72" s="311"/>
      <c r="L72" s="311"/>
      <c r="M72" s="312"/>
      <c r="N72" s="274"/>
      <c r="O72" s="274"/>
      <c r="P72" s="274"/>
      <c r="Q72" s="274"/>
      <c r="R72" s="269">
        <f>(G72-F72)/F72</f>
        <v>3.4482758620689689E-2</v>
      </c>
    </row>
    <row r="73" spans="1:18" s="259" customFormat="1" ht="25.5" x14ac:dyDescent="0.2">
      <c r="A73" s="486" t="s">
        <v>0</v>
      </c>
      <c r="B73" s="543" t="s">
        <v>10</v>
      </c>
      <c r="C73" s="489" t="s">
        <v>28</v>
      </c>
      <c r="D73" s="489" t="s">
        <v>21</v>
      </c>
      <c r="E73" s="490" t="s">
        <v>684</v>
      </c>
      <c r="F73" s="490"/>
      <c r="G73" s="490"/>
      <c r="H73" s="490"/>
      <c r="I73" s="490"/>
      <c r="J73" s="262" t="s">
        <v>19</v>
      </c>
      <c r="K73" s="86" t="s">
        <v>683</v>
      </c>
      <c r="L73" s="86" t="s">
        <v>682</v>
      </c>
      <c r="M73" s="263" t="s">
        <v>11</v>
      </c>
      <c r="N73" s="228">
        <v>86</v>
      </c>
      <c r="O73" s="228">
        <v>86</v>
      </c>
      <c r="P73" s="228">
        <v>86</v>
      </c>
      <c r="Q73" s="228" t="s">
        <v>19</v>
      </c>
      <c r="R73" s="258"/>
    </row>
    <row r="74" spans="1:18" s="259" customFormat="1" ht="12.75" x14ac:dyDescent="0.2">
      <c r="A74" s="486"/>
      <c r="B74" s="543"/>
      <c r="C74" s="489"/>
      <c r="D74" s="489"/>
      <c r="E74" s="86" t="s">
        <v>15</v>
      </c>
      <c r="F74" s="31">
        <v>40.4</v>
      </c>
      <c r="G74" s="30">
        <v>44.9</v>
      </c>
      <c r="H74" s="94">
        <f>ROUND(G74*Lapas1!$A$1,1)</f>
        <v>48.9</v>
      </c>
      <c r="I74" s="94">
        <f>ROUND(H74*Lapas1!$A$2,1)</f>
        <v>55.3</v>
      </c>
      <c r="J74" s="270"/>
      <c r="K74" s="311"/>
      <c r="L74" s="311"/>
      <c r="M74" s="312"/>
      <c r="N74" s="274"/>
      <c r="O74" s="274"/>
      <c r="P74" s="274"/>
      <c r="Q74" s="274"/>
      <c r="R74" s="313"/>
    </row>
    <row r="75" spans="1:18" s="259" customFormat="1" ht="12.75" x14ac:dyDescent="0.2">
      <c r="A75" s="486"/>
      <c r="B75" s="543"/>
      <c r="C75" s="489"/>
      <c r="D75" s="489"/>
      <c r="E75" s="239" t="s">
        <v>22</v>
      </c>
      <c r="F75" s="28">
        <f>SUM(F74:F74)</f>
        <v>40.4</v>
      </c>
      <c r="G75" s="27">
        <f>SUM(G74:G74)</f>
        <v>44.9</v>
      </c>
      <c r="H75" s="28">
        <f>SUM(H74:H74)</f>
        <v>48.9</v>
      </c>
      <c r="I75" s="28">
        <f>SUM(I74:I74)</f>
        <v>55.3</v>
      </c>
      <c r="J75" s="270"/>
      <c r="K75" s="311"/>
      <c r="L75" s="311"/>
      <c r="M75" s="312"/>
      <c r="N75" s="274"/>
      <c r="O75" s="274"/>
      <c r="P75" s="274"/>
      <c r="Q75" s="274"/>
      <c r="R75" s="269">
        <f>(G75-F75)/F75</f>
        <v>0.11138613861386139</v>
      </c>
    </row>
    <row r="76" spans="1:18" s="259" customFormat="1" ht="12.75" customHeight="1" x14ac:dyDescent="0.2">
      <c r="A76" s="486" t="s">
        <v>0</v>
      </c>
      <c r="B76" s="543" t="s">
        <v>10</v>
      </c>
      <c r="C76" s="489" t="s">
        <v>75</v>
      </c>
      <c r="D76" s="489" t="s">
        <v>21</v>
      </c>
      <c r="E76" s="500" t="s">
        <v>681</v>
      </c>
      <c r="F76" s="501"/>
      <c r="G76" s="501"/>
      <c r="H76" s="501"/>
      <c r="I76" s="502"/>
      <c r="J76" s="518" t="s">
        <v>19</v>
      </c>
      <c r="K76" s="86" t="s">
        <v>680</v>
      </c>
      <c r="L76" s="86" t="s">
        <v>679</v>
      </c>
      <c r="M76" s="263" t="s">
        <v>12</v>
      </c>
      <c r="N76" s="228">
        <v>40</v>
      </c>
      <c r="O76" s="228">
        <v>42</v>
      </c>
      <c r="P76" s="228">
        <v>43</v>
      </c>
      <c r="Q76" s="228" t="s">
        <v>19</v>
      </c>
      <c r="R76" s="258"/>
    </row>
    <row r="77" spans="1:18" s="259" customFormat="1" ht="12.75" customHeight="1" x14ac:dyDescent="0.2">
      <c r="A77" s="486"/>
      <c r="B77" s="543"/>
      <c r="C77" s="489"/>
      <c r="D77" s="489"/>
      <c r="E77" s="503"/>
      <c r="F77" s="504"/>
      <c r="G77" s="504"/>
      <c r="H77" s="504"/>
      <c r="I77" s="505"/>
      <c r="J77" s="519"/>
      <c r="K77" s="86" t="s">
        <v>678</v>
      </c>
      <c r="L77" s="86" t="s">
        <v>677</v>
      </c>
      <c r="M77" s="263" t="s">
        <v>12</v>
      </c>
      <c r="N77" s="228">
        <v>75</v>
      </c>
      <c r="O77" s="228">
        <v>72</v>
      </c>
      <c r="P77" s="228">
        <v>70</v>
      </c>
      <c r="Q77" s="228" t="s">
        <v>19</v>
      </c>
      <c r="R77" s="258"/>
    </row>
    <row r="78" spans="1:18" s="259" customFormat="1" ht="25.5" x14ac:dyDescent="0.2">
      <c r="A78" s="486"/>
      <c r="B78" s="543"/>
      <c r="C78" s="489"/>
      <c r="D78" s="489"/>
      <c r="E78" s="503"/>
      <c r="F78" s="504"/>
      <c r="G78" s="504"/>
      <c r="H78" s="504"/>
      <c r="I78" s="505"/>
      <c r="J78" s="519"/>
      <c r="K78" s="86" t="s">
        <v>904</v>
      </c>
      <c r="L78" s="263" t="s">
        <v>903</v>
      </c>
      <c r="M78" s="263" t="s">
        <v>35</v>
      </c>
      <c r="N78" s="228">
        <v>41</v>
      </c>
      <c r="O78" s="228">
        <v>40</v>
      </c>
      <c r="P78" s="228">
        <v>40</v>
      </c>
      <c r="Q78" s="228" t="s">
        <v>19</v>
      </c>
      <c r="R78" s="258"/>
    </row>
    <row r="79" spans="1:18" s="259" customFormat="1" ht="38.25" x14ac:dyDescent="0.2">
      <c r="A79" s="486"/>
      <c r="B79" s="543"/>
      <c r="C79" s="489"/>
      <c r="D79" s="489"/>
      <c r="E79" s="503"/>
      <c r="F79" s="504"/>
      <c r="G79" s="504"/>
      <c r="H79" s="504"/>
      <c r="I79" s="505"/>
      <c r="J79" s="519"/>
      <c r="K79" s="86" t="s">
        <v>676</v>
      </c>
      <c r="L79" s="263" t="s">
        <v>905</v>
      </c>
      <c r="M79" s="263" t="s">
        <v>35</v>
      </c>
      <c r="N79" s="228">
        <v>0</v>
      </c>
      <c r="O79" s="228">
        <v>0</v>
      </c>
      <c r="P79" s="228">
        <v>0</v>
      </c>
      <c r="Q79" s="228" t="s">
        <v>19</v>
      </c>
      <c r="R79" s="258"/>
    </row>
    <row r="80" spans="1:18" s="259" customFormat="1" ht="13.5" customHeight="1" x14ac:dyDescent="0.2">
      <c r="A80" s="486"/>
      <c r="B80" s="543"/>
      <c r="C80" s="489"/>
      <c r="D80" s="489"/>
      <c r="E80" s="506"/>
      <c r="F80" s="507"/>
      <c r="G80" s="507"/>
      <c r="H80" s="507"/>
      <c r="I80" s="508"/>
      <c r="J80" s="520"/>
      <c r="K80" s="382" t="s">
        <v>1003</v>
      </c>
      <c r="L80" s="390" t="s">
        <v>1004</v>
      </c>
      <c r="M80" s="391" t="s">
        <v>11</v>
      </c>
      <c r="N80" s="391">
        <v>100</v>
      </c>
      <c r="O80" s="391">
        <v>100</v>
      </c>
      <c r="P80" s="391">
        <v>100</v>
      </c>
      <c r="Q80" s="351" t="s">
        <v>19</v>
      </c>
      <c r="R80" s="258"/>
    </row>
    <row r="81" spans="1:18" s="259" customFormat="1" ht="12.75" x14ac:dyDescent="0.2">
      <c r="A81" s="486"/>
      <c r="B81" s="543"/>
      <c r="C81" s="489"/>
      <c r="D81" s="489"/>
      <c r="E81" s="86" t="s">
        <v>14</v>
      </c>
      <c r="F81" s="31">
        <v>6</v>
      </c>
      <c r="G81" s="30">
        <v>0</v>
      </c>
      <c r="H81" s="94">
        <f>ROUND(G81*Lapas1!$A$1,1)</f>
        <v>0</v>
      </c>
      <c r="I81" s="94">
        <f>ROUND(H81*Lapas1!$A$2,1)</f>
        <v>0</v>
      </c>
      <c r="J81" s="270"/>
      <c r="K81" s="358"/>
      <c r="L81" s="358"/>
      <c r="M81" s="359"/>
      <c r="N81" s="360"/>
      <c r="O81" s="360"/>
      <c r="P81" s="360"/>
      <c r="Q81" s="274"/>
      <c r="R81" s="313"/>
    </row>
    <row r="82" spans="1:18" s="259" customFormat="1" ht="12.75" x14ac:dyDescent="0.2">
      <c r="A82" s="486"/>
      <c r="B82" s="543"/>
      <c r="C82" s="489"/>
      <c r="D82" s="489"/>
      <c r="E82" s="86" t="s">
        <v>15</v>
      </c>
      <c r="F82" s="31">
        <v>1075.4000000000001</v>
      </c>
      <c r="G82" s="30">
        <v>1069.5</v>
      </c>
      <c r="H82" s="94">
        <f>ROUND(G82*Lapas1!$A$1,1)</f>
        <v>1165.8</v>
      </c>
      <c r="I82" s="94">
        <f>ROUND(H82*Lapas1!$A$2,1)</f>
        <v>1317.4</v>
      </c>
      <c r="J82" s="270"/>
      <c r="K82" s="311"/>
      <c r="L82" s="311"/>
      <c r="M82" s="312"/>
      <c r="N82" s="274"/>
      <c r="O82" s="274"/>
      <c r="P82" s="274"/>
      <c r="Q82" s="274"/>
      <c r="R82" s="313"/>
    </row>
    <row r="83" spans="1:18" s="259" customFormat="1" ht="12.75" x14ac:dyDescent="0.2">
      <c r="A83" s="486"/>
      <c r="B83" s="543"/>
      <c r="C83" s="489"/>
      <c r="D83" s="489"/>
      <c r="E83" s="239" t="s">
        <v>22</v>
      </c>
      <c r="F83" s="28">
        <f>SUM(F81:F82)</f>
        <v>1081.4000000000001</v>
      </c>
      <c r="G83" s="27">
        <f>SUM(G81:G82)</f>
        <v>1069.5</v>
      </c>
      <c r="H83" s="28">
        <f>SUM(H81:H82)</f>
        <v>1165.8</v>
      </c>
      <c r="I83" s="28">
        <f>SUM(I81:I82)</f>
        <v>1317.4</v>
      </c>
      <c r="J83" s="270"/>
      <c r="K83" s="311"/>
      <c r="L83" s="311"/>
      <c r="M83" s="312"/>
      <c r="N83" s="274"/>
      <c r="O83" s="274"/>
      <c r="P83" s="274"/>
      <c r="Q83" s="274"/>
      <c r="R83" s="269">
        <f>(G83-F83)/F83</f>
        <v>-1.1004253745145265E-2</v>
      </c>
    </row>
    <row r="84" spans="1:18" s="259" customFormat="1" ht="38.25" x14ac:dyDescent="0.2">
      <c r="A84" s="486" t="s">
        <v>0</v>
      </c>
      <c r="B84" s="543" t="s">
        <v>10</v>
      </c>
      <c r="C84" s="489" t="s">
        <v>104</v>
      </c>
      <c r="D84" s="489" t="s">
        <v>21</v>
      </c>
      <c r="E84" s="490" t="s">
        <v>675</v>
      </c>
      <c r="F84" s="490"/>
      <c r="G84" s="490"/>
      <c r="H84" s="490"/>
      <c r="I84" s="490"/>
      <c r="J84" s="262" t="s">
        <v>19</v>
      </c>
      <c r="K84" s="86" t="s">
        <v>674</v>
      </c>
      <c r="L84" s="86" t="s">
        <v>673</v>
      </c>
      <c r="M84" s="263" t="s">
        <v>11</v>
      </c>
      <c r="N84" s="228">
        <v>33.6</v>
      </c>
      <c r="O84" s="228">
        <v>33.6</v>
      </c>
      <c r="P84" s="228">
        <v>33.6</v>
      </c>
      <c r="Q84" s="228" t="s">
        <v>19</v>
      </c>
      <c r="R84" s="258"/>
    </row>
    <row r="85" spans="1:18" s="259" customFormat="1" ht="12.75" x14ac:dyDescent="0.2">
      <c r="A85" s="486"/>
      <c r="B85" s="543"/>
      <c r="C85" s="489"/>
      <c r="D85" s="489"/>
      <c r="E85" s="86" t="s">
        <v>15</v>
      </c>
      <c r="F85" s="31">
        <v>3.6</v>
      </c>
      <c r="G85" s="30">
        <v>3.4</v>
      </c>
      <c r="H85" s="94">
        <f>ROUND(G85*Lapas1!$A$1,1)</f>
        <v>3.7</v>
      </c>
      <c r="I85" s="94">
        <f>ROUND(H85*Lapas1!$A$2,1)</f>
        <v>4.2</v>
      </c>
      <c r="J85" s="270"/>
      <c r="K85" s="311"/>
      <c r="L85" s="311"/>
      <c r="M85" s="312"/>
      <c r="N85" s="274"/>
      <c r="O85" s="274"/>
      <c r="P85" s="274"/>
      <c r="Q85" s="274"/>
      <c r="R85" s="313"/>
    </row>
    <row r="86" spans="1:18" s="259" customFormat="1" ht="12.75" x14ac:dyDescent="0.2">
      <c r="A86" s="486"/>
      <c r="B86" s="543"/>
      <c r="C86" s="489"/>
      <c r="D86" s="489"/>
      <c r="E86" s="239" t="s">
        <v>22</v>
      </c>
      <c r="F86" s="28">
        <f>SUM(F85:F85)</f>
        <v>3.6</v>
      </c>
      <c r="G86" s="27">
        <f>SUM(G85:G85)</f>
        <v>3.4</v>
      </c>
      <c r="H86" s="28">
        <f>SUM(H85:H85)</f>
        <v>3.7</v>
      </c>
      <c r="I86" s="28">
        <f>SUM(I85:I85)</f>
        <v>4.2</v>
      </c>
      <c r="J86" s="270"/>
      <c r="K86" s="311"/>
      <c r="L86" s="311"/>
      <c r="M86" s="312"/>
      <c r="N86" s="274"/>
      <c r="O86" s="274"/>
      <c r="P86" s="274"/>
      <c r="Q86" s="274"/>
      <c r="R86" s="269">
        <f>(G86-F86)/F86</f>
        <v>-5.5555555555555601E-2</v>
      </c>
    </row>
    <row r="87" spans="1:18" s="259" customFormat="1" ht="25.5" x14ac:dyDescent="0.2">
      <c r="A87" s="486" t="s">
        <v>0</v>
      </c>
      <c r="B87" s="543" t="s">
        <v>10</v>
      </c>
      <c r="C87" s="489" t="s">
        <v>105</v>
      </c>
      <c r="D87" s="489" t="s">
        <v>21</v>
      </c>
      <c r="E87" s="490" t="s">
        <v>672</v>
      </c>
      <c r="F87" s="490"/>
      <c r="G87" s="490"/>
      <c r="H87" s="490"/>
      <c r="I87" s="490"/>
      <c r="J87" s="262" t="s">
        <v>19</v>
      </c>
      <c r="K87" s="263" t="s">
        <v>671</v>
      </c>
      <c r="L87" s="263" t="s">
        <v>670</v>
      </c>
      <c r="M87" s="263" t="s">
        <v>12</v>
      </c>
      <c r="N87" s="228">
        <v>15</v>
      </c>
      <c r="O87" s="228">
        <v>15</v>
      </c>
      <c r="P87" s="228">
        <v>15</v>
      </c>
      <c r="Q87" s="228" t="s">
        <v>19</v>
      </c>
      <c r="R87" s="258"/>
    </row>
    <row r="88" spans="1:18" s="259" customFormat="1" ht="12.75" x14ac:dyDescent="0.2">
      <c r="A88" s="486"/>
      <c r="B88" s="543"/>
      <c r="C88" s="489"/>
      <c r="D88" s="489"/>
      <c r="E88" s="86" t="s">
        <v>15</v>
      </c>
      <c r="F88" s="31">
        <v>221.4</v>
      </c>
      <c r="G88" s="30">
        <v>219.9</v>
      </c>
      <c r="H88" s="94">
        <f>ROUND(G88*Lapas1!$A$1,1)</f>
        <v>239.7</v>
      </c>
      <c r="I88" s="94">
        <f>ROUND(H88*Lapas1!$A$2,1)</f>
        <v>270.89999999999998</v>
      </c>
      <c r="J88" s="270"/>
      <c r="K88" s="311"/>
      <c r="L88" s="311"/>
      <c r="M88" s="312"/>
      <c r="N88" s="274"/>
      <c r="O88" s="274"/>
      <c r="P88" s="274"/>
      <c r="Q88" s="274"/>
      <c r="R88" s="313"/>
    </row>
    <row r="89" spans="1:18" s="259" customFormat="1" ht="12.75" x14ac:dyDescent="0.2">
      <c r="A89" s="486"/>
      <c r="B89" s="543"/>
      <c r="C89" s="489"/>
      <c r="D89" s="489"/>
      <c r="E89" s="239" t="s">
        <v>22</v>
      </c>
      <c r="F89" s="28">
        <f>SUM(F88:F88)</f>
        <v>221.4</v>
      </c>
      <c r="G89" s="27">
        <f>SUM(G88:G88)</f>
        <v>219.9</v>
      </c>
      <c r="H89" s="28">
        <f>SUM(H88:H88)</f>
        <v>239.7</v>
      </c>
      <c r="I89" s="28">
        <f>SUM(I88:I88)</f>
        <v>270.89999999999998</v>
      </c>
      <c r="J89" s="270"/>
      <c r="K89" s="311"/>
      <c r="L89" s="311"/>
      <c r="M89" s="312"/>
      <c r="N89" s="274"/>
      <c r="O89" s="274"/>
      <c r="P89" s="274"/>
      <c r="Q89" s="274"/>
      <c r="R89" s="269">
        <f>(G89-F89)/F89</f>
        <v>-6.7750677506775063E-3</v>
      </c>
    </row>
    <row r="90" spans="1:18" s="259" customFormat="1" ht="25.5" x14ac:dyDescent="0.2">
      <c r="A90" s="486" t="s">
        <v>0</v>
      </c>
      <c r="B90" s="543" t="s">
        <v>10</v>
      </c>
      <c r="C90" s="489" t="s">
        <v>113</v>
      </c>
      <c r="D90" s="489" t="s">
        <v>21</v>
      </c>
      <c r="E90" s="490" t="s">
        <v>669</v>
      </c>
      <c r="F90" s="490"/>
      <c r="G90" s="490"/>
      <c r="H90" s="490"/>
      <c r="I90" s="490"/>
      <c r="J90" s="499" t="s">
        <v>19</v>
      </c>
      <c r="K90" s="86" t="s">
        <v>668</v>
      </c>
      <c r="L90" s="86" t="s">
        <v>667</v>
      </c>
      <c r="M90" s="263" t="s">
        <v>502</v>
      </c>
      <c r="N90" s="228">
        <v>44517.4</v>
      </c>
      <c r="O90" s="228">
        <v>44517.4</v>
      </c>
      <c r="P90" s="228">
        <v>44517.4</v>
      </c>
      <c r="Q90" s="531" t="s">
        <v>1023</v>
      </c>
      <c r="R90" s="258"/>
    </row>
    <row r="91" spans="1:18" s="259" customFormat="1" ht="25.5" x14ac:dyDescent="0.2">
      <c r="A91" s="486"/>
      <c r="B91" s="543"/>
      <c r="C91" s="489"/>
      <c r="D91" s="489"/>
      <c r="E91" s="490"/>
      <c r="F91" s="490"/>
      <c r="G91" s="490"/>
      <c r="H91" s="490"/>
      <c r="I91" s="490"/>
      <c r="J91" s="499"/>
      <c r="K91" s="86" t="s">
        <v>666</v>
      </c>
      <c r="L91" s="86" t="s">
        <v>665</v>
      </c>
      <c r="M91" s="263" t="s">
        <v>12</v>
      </c>
      <c r="N91" s="228">
        <v>25</v>
      </c>
      <c r="O91" s="228">
        <v>25</v>
      </c>
      <c r="P91" s="228">
        <v>25</v>
      </c>
      <c r="Q91" s="532"/>
      <c r="R91" s="258"/>
    </row>
    <row r="92" spans="1:18" s="259" customFormat="1" ht="12.75" x14ac:dyDescent="0.2">
      <c r="A92" s="486"/>
      <c r="B92" s="543"/>
      <c r="C92" s="489"/>
      <c r="D92" s="489"/>
      <c r="E92" s="490"/>
      <c r="F92" s="490"/>
      <c r="G92" s="490"/>
      <c r="H92" s="490"/>
      <c r="I92" s="490"/>
      <c r="J92" s="499"/>
      <c r="K92" s="86" t="s">
        <v>664</v>
      </c>
      <c r="L92" s="86" t="s">
        <v>663</v>
      </c>
      <c r="M92" s="263" t="s">
        <v>662</v>
      </c>
      <c r="N92" s="228">
        <v>20</v>
      </c>
      <c r="O92" s="228">
        <v>20</v>
      </c>
      <c r="P92" s="228">
        <v>20</v>
      </c>
      <c r="Q92" s="533"/>
      <c r="R92" s="258"/>
    </row>
    <row r="93" spans="1:18" s="259" customFormat="1" ht="12.75" x14ac:dyDescent="0.2">
      <c r="A93" s="486"/>
      <c r="B93" s="543"/>
      <c r="C93" s="489"/>
      <c r="D93" s="489"/>
      <c r="E93" s="86" t="s">
        <v>15</v>
      </c>
      <c r="F93" s="31">
        <v>162</v>
      </c>
      <c r="G93" s="30">
        <v>192.7</v>
      </c>
      <c r="H93" s="94">
        <f>ROUND(G93*Lapas1!$A$1,1)</f>
        <v>210</v>
      </c>
      <c r="I93" s="94">
        <f>ROUND(H93*Lapas1!$A$2,1)</f>
        <v>237.3</v>
      </c>
      <c r="J93" s="270"/>
      <c r="K93" s="311"/>
      <c r="L93" s="311"/>
      <c r="M93" s="312"/>
      <c r="N93" s="274"/>
      <c r="O93" s="274"/>
      <c r="P93" s="274"/>
      <c r="Q93" s="274"/>
      <c r="R93" s="313"/>
    </row>
    <row r="94" spans="1:18" s="259" customFormat="1" ht="12.75" x14ac:dyDescent="0.2">
      <c r="A94" s="486"/>
      <c r="B94" s="543"/>
      <c r="C94" s="489"/>
      <c r="D94" s="489"/>
      <c r="E94" s="239" t="s">
        <v>22</v>
      </c>
      <c r="F94" s="28">
        <f>SUM(F93:F93)</f>
        <v>162</v>
      </c>
      <c r="G94" s="27">
        <f>SUM(G93:G93)</f>
        <v>192.7</v>
      </c>
      <c r="H94" s="28">
        <f>SUM(H93:H93)</f>
        <v>210</v>
      </c>
      <c r="I94" s="28">
        <f>SUM(I93:I93)</f>
        <v>237.3</v>
      </c>
      <c r="J94" s="270"/>
      <c r="K94" s="311"/>
      <c r="L94" s="311"/>
      <c r="M94" s="312"/>
      <c r="N94" s="274"/>
      <c r="O94" s="274"/>
      <c r="P94" s="274"/>
      <c r="Q94" s="274"/>
      <c r="R94" s="269">
        <f>(G94-F94)/F94</f>
        <v>0.1895061728395061</v>
      </c>
    </row>
    <row r="95" spans="1:18" s="259" customFormat="1" ht="13.5" x14ac:dyDescent="0.2">
      <c r="A95" s="486" t="s">
        <v>0</v>
      </c>
      <c r="B95" s="543" t="s">
        <v>10</v>
      </c>
      <c r="C95" s="489" t="s">
        <v>114</v>
      </c>
      <c r="D95" s="489" t="s">
        <v>21</v>
      </c>
      <c r="E95" s="490" t="s">
        <v>661</v>
      </c>
      <c r="F95" s="490"/>
      <c r="G95" s="490"/>
      <c r="H95" s="490"/>
      <c r="I95" s="490"/>
      <c r="J95" s="262" t="s">
        <v>19</v>
      </c>
      <c r="K95" s="86" t="s">
        <v>660</v>
      </c>
      <c r="L95" s="86" t="s">
        <v>659</v>
      </c>
      <c r="M95" s="263" t="s">
        <v>12</v>
      </c>
      <c r="N95" s="228">
        <v>500</v>
      </c>
      <c r="O95" s="228">
        <v>500</v>
      </c>
      <c r="P95" s="228">
        <v>500</v>
      </c>
      <c r="Q95" s="228" t="s">
        <v>19</v>
      </c>
      <c r="R95" s="258"/>
    </row>
    <row r="96" spans="1:18" s="259" customFormat="1" ht="12.75" x14ac:dyDescent="0.2">
      <c r="A96" s="486"/>
      <c r="B96" s="543"/>
      <c r="C96" s="489"/>
      <c r="D96" s="489"/>
      <c r="E96" s="86" t="s">
        <v>15</v>
      </c>
      <c r="F96" s="31">
        <v>27.7</v>
      </c>
      <c r="G96" s="30">
        <v>26.8</v>
      </c>
      <c r="H96" s="94">
        <f>ROUND(G96*Lapas1!$A$1,1)</f>
        <v>29.2</v>
      </c>
      <c r="I96" s="94">
        <f>ROUND(H96*Lapas1!$A$2,1)</f>
        <v>33</v>
      </c>
      <c r="J96" s="270"/>
      <c r="K96" s="311"/>
      <c r="L96" s="311"/>
      <c r="M96" s="312"/>
      <c r="N96" s="274"/>
      <c r="O96" s="274"/>
      <c r="P96" s="274"/>
      <c r="Q96" s="274"/>
      <c r="R96" s="313"/>
    </row>
    <row r="97" spans="1:18" s="259" customFormat="1" ht="12.75" x14ac:dyDescent="0.2">
      <c r="A97" s="486"/>
      <c r="B97" s="543"/>
      <c r="C97" s="489"/>
      <c r="D97" s="489"/>
      <c r="E97" s="239" t="s">
        <v>22</v>
      </c>
      <c r="F97" s="28">
        <f>SUM(F96:F96)</f>
        <v>27.7</v>
      </c>
      <c r="G97" s="27">
        <f>SUM(G96:G96)</f>
        <v>26.8</v>
      </c>
      <c r="H97" s="28">
        <f>SUM(H96:H96)</f>
        <v>29.2</v>
      </c>
      <c r="I97" s="28">
        <f>SUM(I96:I96)</f>
        <v>33</v>
      </c>
      <c r="J97" s="270"/>
      <c r="K97" s="311"/>
      <c r="L97" s="311"/>
      <c r="M97" s="312"/>
      <c r="N97" s="274"/>
      <c r="O97" s="274"/>
      <c r="P97" s="274"/>
      <c r="Q97" s="274"/>
      <c r="R97" s="269">
        <f>(G97-F97)/F97</f>
        <v>-3.2490974729241826E-2</v>
      </c>
    </row>
    <row r="98" spans="1:18" s="259" customFormat="1" ht="25.5" x14ac:dyDescent="0.2">
      <c r="A98" s="486" t="s">
        <v>0</v>
      </c>
      <c r="B98" s="543" t="s">
        <v>10</v>
      </c>
      <c r="C98" s="489" t="s">
        <v>116</v>
      </c>
      <c r="D98" s="489" t="s">
        <v>21</v>
      </c>
      <c r="E98" s="490" t="s">
        <v>658</v>
      </c>
      <c r="F98" s="490"/>
      <c r="G98" s="490"/>
      <c r="H98" s="490"/>
      <c r="I98" s="490"/>
      <c r="J98" s="262" t="s">
        <v>19</v>
      </c>
      <c r="K98" s="86" t="s">
        <v>657</v>
      </c>
      <c r="L98" s="86" t="s">
        <v>901</v>
      </c>
      <c r="M98" s="263" t="s">
        <v>12</v>
      </c>
      <c r="N98" s="228">
        <v>4</v>
      </c>
      <c r="O98" s="228">
        <v>4</v>
      </c>
      <c r="P98" s="228">
        <v>4</v>
      </c>
      <c r="Q98" s="228" t="s">
        <v>19</v>
      </c>
      <c r="R98" s="258"/>
    </row>
    <row r="99" spans="1:18" s="259" customFormat="1" ht="12.75" x14ac:dyDescent="0.2">
      <c r="A99" s="486"/>
      <c r="B99" s="543"/>
      <c r="C99" s="489"/>
      <c r="D99" s="489"/>
      <c r="E99" s="86" t="s">
        <v>15</v>
      </c>
      <c r="F99" s="31">
        <v>23</v>
      </c>
      <c r="G99" s="30">
        <v>22.6</v>
      </c>
      <c r="H99" s="94">
        <f>ROUND(G99*Lapas1!$A$1,1)</f>
        <v>24.6</v>
      </c>
      <c r="I99" s="94">
        <f>ROUND(H99*Lapas1!$A$2,1)</f>
        <v>27.8</v>
      </c>
      <c r="J99" s="270"/>
      <c r="K99" s="311"/>
      <c r="L99" s="311"/>
      <c r="M99" s="312"/>
      <c r="N99" s="274"/>
      <c r="O99" s="274"/>
      <c r="P99" s="274"/>
      <c r="Q99" s="274"/>
      <c r="R99" s="313"/>
    </row>
    <row r="100" spans="1:18" s="259" customFormat="1" ht="12.75" x14ac:dyDescent="0.2">
      <c r="A100" s="486"/>
      <c r="B100" s="543"/>
      <c r="C100" s="489"/>
      <c r="D100" s="489"/>
      <c r="E100" s="239" t="s">
        <v>22</v>
      </c>
      <c r="F100" s="28">
        <f>SUM(F99:F99)</f>
        <v>23</v>
      </c>
      <c r="G100" s="27">
        <f>SUM(G99:G99)</f>
        <v>22.6</v>
      </c>
      <c r="H100" s="28">
        <f>SUM(H99:H99)</f>
        <v>24.6</v>
      </c>
      <c r="I100" s="28">
        <f>SUM(I99:I99)</f>
        <v>27.8</v>
      </c>
      <c r="J100" s="270"/>
      <c r="K100" s="311"/>
      <c r="L100" s="311"/>
      <c r="M100" s="312"/>
      <c r="N100" s="274"/>
      <c r="O100" s="274"/>
      <c r="P100" s="274"/>
      <c r="Q100" s="274"/>
      <c r="R100" s="269">
        <f>(G100-F100)/F100</f>
        <v>-1.7391304347826025E-2</v>
      </c>
    </row>
    <row r="101" spans="1:18" s="259" customFormat="1" ht="51" x14ac:dyDescent="0.2">
      <c r="A101" s="486" t="s">
        <v>0</v>
      </c>
      <c r="B101" s="543" t="s">
        <v>10</v>
      </c>
      <c r="C101" s="489" t="s">
        <v>120</v>
      </c>
      <c r="D101" s="489" t="s">
        <v>21</v>
      </c>
      <c r="E101" s="490" t="s">
        <v>656</v>
      </c>
      <c r="F101" s="490"/>
      <c r="G101" s="490"/>
      <c r="H101" s="490"/>
      <c r="I101" s="490"/>
      <c r="J101" s="262" t="s">
        <v>19</v>
      </c>
      <c r="K101" s="86" t="s">
        <v>655</v>
      </c>
      <c r="L101" s="86" t="s">
        <v>654</v>
      </c>
      <c r="M101" s="263" t="s">
        <v>12</v>
      </c>
      <c r="N101" s="228">
        <v>12</v>
      </c>
      <c r="O101" s="228">
        <v>12</v>
      </c>
      <c r="P101" s="228">
        <v>12</v>
      </c>
      <c r="Q101" s="228" t="s">
        <v>19</v>
      </c>
      <c r="R101" s="315"/>
    </row>
    <row r="102" spans="1:18" s="259" customFormat="1" ht="12.75" x14ac:dyDescent="0.2">
      <c r="A102" s="486"/>
      <c r="B102" s="543"/>
      <c r="C102" s="489"/>
      <c r="D102" s="489"/>
      <c r="E102" s="86" t="s">
        <v>15</v>
      </c>
      <c r="F102" s="31">
        <v>25.856000000000002</v>
      </c>
      <c r="G102" s="30">
        <v>27</v>
      </c>
      <c r="H102" s="94">
        <f>ROUND(G102*Lapas1!$A$1,1)</f>
        <v>29.4</v>
      </c>
      <c r="I102" s="94">
        <f>ROUND(H102*Lapas1!$A$2,1)</f>
        <v>33.200000000000003</v>
      </c>
      <c r="J102" s="270"/>
      <c r="K102" s="311"/>
      <c r="L102" s="311"/>
      <c r="M102" s="312"/>
      <c r="N102" s="274"/>
      <c r="O102" s="274"/>
      <c r="P102" s="274"/>
      <c r="Q102" s="274"/>
      <c r="R102" s="313"/>
    </row>
    <row r="103" spans="1:18" s="259" customFormat="1" ht="12.75" x14ac:dyDescent="0.2">
      <c r="A103" s="486"/>
      <c r="B103" s="543"/>
      <c r="C103" s="489"/>
      <c r="D103" s="489"/>
      <c r="E103" s="239" t="s">
        <v>22</v>
      </c>
      <c r="F103" s="28">
        <f>SUM(F102:F102)</f>
        <v>25.856000000000002</v>
      </c>
      <c r="G103" s="27">
        <f>SUM(G102:G102)</f>
        <v>27</v>
      </c>
      <c r="H103" s="28">
        <f>SUM(H102:H102)</f>
        <v>29.4</v>
      </c>
      <c r="I103" s="28">
        <f>SUM(I102:I102)</f>
        <v>33.200000000000003</v>
      </c>
      <c r="J103" s="270"/>
      <c r="K103" s="311"/>
      <c r="L103" s="311"/>
      <c r="M103" s="312"/>
      <c r="N103" s="274"/>
      <c r="O103" s="274"/>
      <c r="P103" s="274"/>
      <c r="Q103" s="274"/>
      <c r="R103" s="269">
        <f>(G103-F103)/F103</f>
        <v>4.424504950495043E-2</v>
      </c>
    </row>
    <row r="104" spans="1:18" s="259" customFormat="1" ht="12.75" x14ac:dyDescent="0.2">
      <c r="A104" s="486" t="s">
        <v>0</v>
      </c>
      <c r="B104" s="543" t="s">
        <v>10</v>
      </c>
      <c r="C104" s="489" t="s">
        <v>121</v>
      </c>
      <c r="D104" s="489" t="s">
        <v>21</v>
      </c>
      <c r="E104" s="490" t="s">
        <v>899</v>
      </c>
      <c r="F104" s="490"/>
      <c r="G104" s="490"/>
      <c r="H104" s="490"/>
      <c r="I104" s="490"/>
      <c r="J104" s="572" t="s">
        <v>19</v>
      </c>
      <c r="K104" s="263" t="s">
        <v>653</v>
      </c>
      <c r="L104" s="263" t="s">
        <v>652</v>
      </c>
      <c r="M104" s="263" t="s">
        <v>12</v>
      </c>
      <c r="N104" s="228">
        <v>20</v>
      </c>
      <c r="O104" s="228">
        <v>20</v>
      </c>
      <c r="P104" s="228">
        <v>20</v>
      </c>
      <c r="Q104" s="228" t="s">
        <v>19</v>
      </c>
      <c r="R104" s="316"/>
    </row>
    <row r="105" spans="1:18" s="259" customFormat="1" ht="25.5" x14ac:dyDescent="0.2">
      <c r="A105" s="486"/>
      <c r="B105" s="543"/>
      <c r="C105" s="489"/>
      <c r="D105" s="489"/>
      <c r="E105" s="490"/>
      <c r="F105" s="490"/>
      <c r="G105" s="490"/>
      <c r="H105" s="490"/>
      <c r="I105" s="490"/>
      <c r="J105" s="572"/>
      <c r="K105" s="263" t="s">
        <v>651</v>
      </c>
      <c r="L105" s="263" t="s">
        <v>650</v>
      </c>
      <c r="M105" s="263" t="s">
        <v>12</v>
      </c>
      <c r="N105" s="228">
        <v>82</v>
      </c>
      <c r="O105" s="228">
        <v>82</v>
      </c>
      <c r="P105" s="228">
        <v>82</v>
      </c>
      <c r="Q105" s="228" t="s">
        <v>19</v>
      </c>
      <c r="R105" s="316"/>
    </row>
    <row r="106" spans="1:18" s="259" customFormat="1" ht="12.75" x14ac:dyDescent="0.2">
      <c r="A106" s="486"/>
      <c r="B106" s="543"/>
      <c r="C106" s="489"/>
      <c r="D106" s="489"/>
      <c r="E106" s="86" t="s">
        <v>15</v>
      </c>
      <c r="F106" s="45">
        <v>43.896000000000001</v>
      </c>
      <c r="G106" s="363">
        <v>44.304000000000002</v>
      </c>
      <c r="H106" s="94">
        <f>ROUND(G106*Lapas1!$A$1,1)</f>
        <v>48.3</v>
      </c>
      <c r="I106" s="94">
        <f>ROUND(H106*Lapas1!$A$2,1)</f>
        <v>54.6</v>
      </c>
      <c r="J106" s="270"/>
      <c r="K106" s="311"/>
      <c r="L106" s="311"/>
      <c r="M106" s="312"/>
      <c r="N106" s="274"/>
      <c r="O106" s="274"/>
      <c r="P106" s="274"/>
      <c r="Q106" s="274"/>
      <c r="R106" s="316"/>
    </row>
    <row r="107" spans="1:18" s="259" customFormat="1" ht="12.75" x14ac:dyDescent="0.2">
      <c r="A107" s="486"/>
      <c r="B107" s="543"/>
      <c r="C107" s="489"/>
      <c r="D107" s="489"/>
      <c r="E107" s="239" t="s">
        <v>22</v>
      </c>
      <c r="F107" s="28">
        <f>SUM(F106)</f>
        <v>43.896000000000001</v>
      </c>
      <c r="G107" s="27">
        <f>SUM(G106)</f>
        <v>44.304000000000002</v>
      </c>
      <c r="H107" s="28">
        <f>SUM(H106)</f>
        <v>48.3</v>
      </c>
      <c r="I107" s="28">
        <f>SUM(I106)</f>
        <v>54.6</v>
      </c>
      <c r="J107" s="270"/>
      <c r="K107" s="311"/>
      <c r="L107" s="311"/>
      <c r="M107" s="312"/>
      <c r="N107" s="274"/>
      <c r="O107" s="274"/>
      <c r="P107" s="274"/>
      <c r="Q107" s="274"/>
      <c r="R107" s="269">
        <f>(G107-F107)/106</f>
        <v>3.8490566037735967E-3</v>
      </c>
    </row>
    <row r="108" spans="1:18" s="259" customFormat="1" ht="12.75" x14ac:dyDescent="0.2">
      <c r="A108" s="283" t="s">
        <v>0</v>
      </c>
      <c r="B108" s="275" t="s">
        <v>10</v>
      </c>
      <c r="C108" s="249"/>
      <c r="D108" s="276" t="s">
        <v>31</v>
      </c>
      <c r="E108" s="277" t="s">
        <v>238</v>
      </c>
      <c r="F108" s="40">
        <f>F107+F103+F100+F97+F94+F89+F86+F83+F75+F72+F69+F66+F61+F58+F55</f>
        <v>1692.4520000000002</v>
      </c>
      <c r="G108" s="39">
        <f>G107+G103+G100+G97+G94+G89+G86+G83+G75+G72+G69+G66+G61+G58+G55</f>
        <v>1760.644</v>
      </c>
      <c r="H108" s="40">
        <f>H107+H103+H100+H97+H94+H89+H86+H83+H75+H72+H69+H66+H61+H58+H55</f>
        <v>1919.0000000000002</v>
      </c>
      <c r="I108" s="40">
        <f>I107+I103+I100+I97+I94+I89+I86+I83+I75+I72+I69+I66+I61+I58+I55</f>
        <v>2168.4999999999995</v>
      </c>
      <c r="J108" s="280"/>
      <c r="K108" s="279"/>
      <c r="L108" s="279"/>
      <c r="M108" s="279"/>
      <c r="N108" s="280"/>
      <c r="O108" s="280"/>
      <c r="P108" s="280"/>
      <c r="Q108" s="280"/>
      <c r="R108" s="258"/>
    </row>
    <row r="109" spans="1:18" s="259" customFormat="1" ht="12.75" x14ac:dyDescent="0.2">
      <c r="A109" s="256" t="s">
        <v>0</v>
      </c>
      <c r="B109" s="275" t="s">
        <v>24</v>
      </c>
      <c r="C109" s="77"/>
      <c r="D109" s="77" t="s">
        <v>31</v>
      </c>
      <c r="E109" s="529" t="s">
        <v>649</v>
      </c>
      <c r="F109" s="529"/>
      <c r="G109" s="529"/>
      <c r="H109" s="529"/>
      <c r="I109" s="529"/>
      <c r="J109" s="249" t="s">
        <v>19</v>
      </c>
      <c r="K109" s="260" t="s">
        <v>648</v>
      </c>
      <c r="L109" s="260" t="s">
        <v>647</v>
      </c>
      <c r="M109" s="260" t="s">
        <v>11</v>
      </c>
      <c r="N109" s="249">
        <v>100</v>
      </c>
      <c r="O109" s="249">
        <v>100</v>
      </c>
      <c r="P109" s="249">
        <v>100</v>
      </c>
      <c r="Q109" s="249" t="s">
        <v>19</v>
      </c>
      <c r="R109" s="258"/>
    </row>
    <row r="110" spans="1:18" s="259" customFormat="1" ht="13.5" x14ac:dyDescent="0.2">
      <c r="A110" s="486" t="s">
        <v>0</v>
      </c>
      <c r="B110" s="543" t="s">
        <v>24</v>
      </c>
      <c r="C110" s="489" t="s">
        <v>0</v>
      </c>
      <c r="D110" s="489" t="s">
        <v>21</v>
      </c>
      <c r="E110" s="490" t="s">
        <v>646</v>
      </c>
      <c r="F110" s="490"/>
      <c r="G110" s="490"/>
      <c r="H110" s="490"/>
      <c r="I110" s="490"/>
      <c r="J110" s="262" t="s">
        <v>19</v>
      </c>
      <c r="K110" s="86" t="s">
        <v>645</v>
      </c>
      <c r="L110" s="86" t="s">
        <v>644</v>
      </c>
      <c r="M110" s="263" t="s">
        <v>11</v>
      </c>
      <c r="N110" s="228">
        <v>100</v>
      </c>
      <c r="O110" s="228">
        <v>100</v>
      </c>
      <c r="P110" s="228">
        <v>100</v>
      </c>
      <c r="Q110" s="228" t="s">
        <v>19</v>
      </c>
      <c r="R110" s="258"/>
    </row>
    <row r="111" spans="1:18" s="259" customFormat="1" ht="12.75" x14ac:dyDescent="0.2">
      <c r="A111" s="486"/>
      <c r="B111" s="543"/>
      <c r="C111" s="489"/>
      <c r="D111" s="489"/>
      <c r="E111" s="86" t="s">
        <v>14</v>
      </c>
      <c r="F111" s="31">
        <v>1167.0999999999999</v>
      </c>
      <c r="G111" s="30">
        <v>1684.8</v>
      </c>
      <c r="H111" s="94">
        <f>ROUND(G111*Lapas1!$A$1,1)</f>
        <v>1836.4</v>
      </c>
      <c r="I111" s="94">
        <f>ROUND(H111*Lapas1!$A$2,1)</f>
        <v>2075.1</v>
      </c>
      <c r="J111" s="270"/>
      <c r="K111" s="311"/>
      <c r="L111" s="311"/>
      <c r="M111" s="312"/>
      <c r="N111" s="274"/>
      <c r="O111" s="274"/>
      <c r="P111" s="274"/>
      <c r="Q111" s="274"/>
      <c r="R111" s="313"/>
    </row>
    <row r="112" spans="1:18" s="259" customFormat="1" ht="12.75" x14ac:dyDescent="0.2">
      <c r="A112" s="486"/>
      <c r="B112" s="543"/>
      <c r="C112" s="489"/>
      <c r="D112" s="489"/>
      <c r="E112" s="239" t="s">
        <v>22</v>
      </c>
      <c r="F112" s="28">
        <f>SUM(F111:F111)</f>
        <v>1167.0999999999999</v>
      </c>
      <c r="G112" s="27">
        <f>SUM(G111:G111)</f>
        <v>1684.8</v>
      </c>
      <c r="H112" s="28">
        <f>SUM(H111:H111)</f>
        <v>1836.4</v>
      </c>
      <c r="I112" s="28">
        <f>SUM(I111:I111)</f>
        <v>2075.1</v>
      </c>
      <c r="J112" s="270"/>
      <c r="K112" s="311"/>
      <c r="L112" s="311"/>
      <c r="M112" s="312"/>
      <c r="N112" s="274"/>
      <c r="O112" s="274"/>
      <c r="P112" s="274"/>
      <c r="Q112" s="274"/>
      <c r="R112" s="269">
        <f>(G112-F112)/F112</f>
        <v>0.44357809956301952</v>
      </c>
    </row>
    <row r="113" spans="1:18" s="259" customFormat="1" ht="13.5" x14ac:dyDescent="0.2">
      <c r="A113" s="486" t="s">
        <v>0</v>
      </c>
      <c r="B113" s="543" t="s">
        <v>24</v>
      </c>
      <c r="C113" s="489" t="s">
        <v>10</v>
      </c>
      <c r="D113" s="489" t="s">
        <v>21</v>
      </c>
      <c r="E113" s="490" t="s">
        <v>643</v>
      </c>
      <c r="F113" s="490"/>
      <c r="G113" s="490"/>
      <c r="H113" s="490"/>
      <c r="I113" s="490"/>
      <c r="J113" s="262" t="s">
        <v>19</v>
      </c>
      <c r="K113" s="86" t="s">
        <v>642</v>
      </c>
      <c r="L113" s="86" t="s">
        <v>641</v>
      </c>
      <c r="M113" s="263" t="s">
        <v>11</v>
      </c>
      <c r="N113" s="228">
        <v>100</v>
      </c>
      <c r="O113" s="228">
        <v>100</v>
      </c>
      <c r="P113" s="228">
        <v>100</v>
      </c>
      <c r="Q113" s="228" t="s">
        <v>19</v>
      </c>
      <c r="R113" s="258"/>
    </row>
    <row r="114" spans="1:18" s="259" customFormat="1" ht="12.75" x14ac:dyDescent="0.2">
      <c r="A114" s="486"/>
      <c r="B114" s="543"/>
      <c r="C114" s="489"/>
      <c r="D114" s="489"/>
      <c r="E114" s="86" t="s">
        <v>14</v>
      </c>
      <c r="F114" s="31">
        <v>350</v>
      </c>
      <c r="G114" s="30">
        <v>380</v>
      </c>
      <c r="H114" s="94">
        <f>ROUND(G114*Lapas1!$A$1,1)</f>
        <v>414.2</v>
      </c>
      <c r="I114" s="94">
        <f>ROUND(H114*Lapas1!$A$2,1)</f>
        <v>468</v>
      </c>
      <c r="J114" s="270"/>
      <c r="K114" s="311"/>
      <c r="L114" s="311"/>
      <c r="M114" s="312"/>
      <c r="N114" s="274"/>
      <c r="O114" s="274"/>
      <c r="P114" s="274"/>
      <c r="Q114" s="274"/>
      <c r="R114" s="313"/>
    </row>
    <row r="115" spans="1:18" s="259" customFormat="1" ht="12.75" x14ac:dyDescent="0.2">
      <c r="A115" s="486"/>
      <c r="B115" s="543"/>
      <c r="C115" s="489"/>
      <c r="D115" s="489"/>
      <c r="E115" s="239" t="s">
        <v>22</v>
      </c>
      <c r="F115" s="28">
        <f>SUM(F114:F114)</f>
        <v>350</v>
      </c>
      <c r="G115" s="27">
        <f>SUM(G114:G114)</f>
        <v>380</v>
      </c>
      <c r="H115" s="28">
        <f>SUM(H114:H114)</f>
        <v>414.2</v>
      </c>
      <c r="I115" s="28">
        <f>SUM(I114:I114)</f>
        <v>468</v>
      </c>
      <c r="J115" s="270"/>
      <c r="K115" s="311"/>
      <c r="L115" s="311"/>
      <c r="M115" s="312"/>
      <c r="N115" s="274"/>
      <c r="O115" s="274"/>
      <c r="P115" s="274"/>
      <c r="Q115" s="274"/>
      <c r="R115" s="269">
        <f>(G115-F115)/F115</f>
        <v>8.5714285714285715E-2</v>
      </c>
    </row>
    <row r="116" spans="1:18" s="259" customFormat="1" ht="12.75" x14ac:dyDescent="0.2">
      <c r="A116" s="283" t="s">
        <v>0</v>
      </c>
      <c r="B116" s="275" t="s">
        <v>24</v>
      </c>
      <c r="C116" s="249"/>
      <c r="D116" s="276" t="s">
        <v>31</v>
      </c>
      <c r="E116" s="277" t="s">
        <v>2</v>
      </c>
      <c r="F116" s="40">
        <f>F112+F115</f>
        <v>1517.1</v>
      </c>
      <c r="G116" s="39">
        <f t="shared" ref="G116:I116" si="1">G112+G115</f>
        <v>2064.8000000000002</v>
      </c>
      <c r="H116" s="40">
        <f t="shared" si="1"/>
        <v>2250.6</v>
      </c>
      <c r="I116" s="40">
        <f t="shared" si="1"/>
        <v>2543.1</v>
      </c>
      <c r="J116" s="280"/>
      <c r="K116" s="279"/>
      <c r="L116" s="279"/>
      <c r="M116" s="279"/>
      <c r="N116" s="280"/>
      <c r="O116" s="280"/>
      <c r="P116" s="280"/>
      <c r="Q116" s="280"/>
      <c r="R116" s="258"/>
    </row>
    <row r="117" spans="1:18" s="259" customFormat="1" ht="12.75" x14ac:dyDescent="0.2">
      <c r="A117" s="256" t="s">
        <v>0</v>
      </c>
      <c r="B117" s="275" t="s">
        <v>25</v>
      </c>
      <c r="C117" s="249"/>
      <c r="D117" s="77" t="s">
        <v>31</v>
      </c>
      <c r="E117" s="529" t="s">
        <v>640</v>
      </c>
      <c r="F117" s="529"/>
      <c r="G117" s="529"/>
      <c r="H117" s="529"/>
      <c r="I117" s="529"/>
      <c r="J117" s="249" t="s">
        <v>19</v>
      </c>
      <c r="K117" s="260" t="s">
        <v>639</v>
      </c>
      <c r="L117" s="260" t="s">
        <v>638</v>
      </c>
      <c r="M117" s="260" t="s">
        <v>12</v>
      </c>
      <c r="N117" s="249">
        <v>20</v>
      </c>
      <c r="O117" s="249">
        <v>20</v>
      </c>
      <c r="P117" s="249">
        <v>20</v>
      </c>
      <c r="Q117" s="249" t="s">
        <v>19</v>
      </c>
      <c r="R117" s="258"/>
    </row>
    <row r="118" spans="1:18" s="259" customFormat="1" ht="12.75" x14ac:dyDescent="0.2">
      <c r="A118" s="486" t="s">
        <v>0</v>
      </c>
      <c r="B118" s="543" t="s">
        <v>25</v>
      </c>
      <c r="C118" s="489" t="s">
        <v>0</v>
      </c>
      <c r="D118" s="489" t="s">
        <v>21</v>
      </c>
      <c r="E118" s="490" t="s">
        <v>637</v>
      </c>
      <c r="F118" s="490"/>
      <c r="G118" s="490"/>
      <c r="H118" s="490"/>
      <c r="I118" s="490"/>
      <c r="J118" s="499" t="s">
        <v>19</v>
      </c>
      <c r="K118" s="86" t="s">
        <v>636</v>
      </c>
      <c r="L118" s="86" t="s">
        <v>452</v>
      </c>
      <c r="M118" s="263" t="s">
        <v>12</v>
      </c>
      <c r="N118" s="228">
        <v>6</v>
      </c>
      <c r="O118" s="228">
        <v>6</v>
      </c>
      <c r="P118" s="228">
        <v>6</v>
      </c>
      <c r="Q118" s="228" t="s">
        <v>19</v>
      </c>
      <c r="R118" s="258"/>
    </row>
    <row r="119" spans="1:18" s="259" customFormat="1" ht="12.75" x14ac:dyDescent="0.2">
      <c r="A119" s="486"/>
      <c r="B119" s="543"/>
      <c r="C119" s="489"/>
      <c r="D119" s="489"/>
      <c r="E119" s="490"/>
      <c r="F119" s="490"/>
      <c r="G119" s="490"/>
      <c r="H119" s="490"/>
      <c r="I119" s="490"/>
      <c r="J119" s="499"/>
      <c r="K119" s="86" t="s">
        <v>635</v>
      </c>
      <c r="L119" s="86" t="s">
        <v>634</v>
      </c>
      <c r="M119" s="263" t="s">
        <v>12</v>
      </c>
      <c r="N119" s="228">
        <v>20</v>
      </c>
      <c r="O119" s="228">
        <v>20</v>
      </c>
      <c r="P119" s="228">
        <v>20</v>
      </c>
      <c r="Q119" s="228" t="s">
        <v>19</v>
      </c>
      <c r="R119" s="258"/>
    </row>
    <row r="120" spans="1:18" s="259" customFormat="1" ht="12.75" x14ac:dyDescent="0.2">
      <c r="A120" s="486"/>
      <c r="B120" s="543"/>
      <c r="C120" s="489"/>
      <c r="D120" s="489"/>
      <c r="E120" s="86" t="s">
        <v>14</v>
      </c>
      <c r="F120" s="31">
        <v>36</v>
      </c>
      <c r="G120" s="30">
        <v>36</v>
      </c>
      <c r="H120" s="94">
        <f>ROUND(G120*Lapas1!$A$1,1)</f>
        <v>39.200000000000003</v>
      </c>
      <c r="I120" s="94">
        <f>ROUND(H120*Lapas1!$A$2,1)</f>
        <v>44.3</v>
      </c>
      <c r="J120" s="270"/>
      <c r="K120" s="311"/>
      <c r="L120" s="311"/>
      <c r="M120" s="312"/>
      <c r="N120" s="274"/>
      <c r="O120" s="274"/>
      <c r="P120" s="274"/>
      <c r="Q120" s="274"/>
      <c r="R120" s="313"/>
    </row>
    <row r="121" spans="1:18" s="259" customFormat="1" ht="12.75" x14ac:dyDescent="0.2">
      <c r="A121" s="486"/>
      <c r="B121" s="543"/>
      <c r="C121" s="489"/>
      <c r="D121" s="489"/>
      <c r="E121" s="239" t="s">
        <v>22</v>
      </c>
      <c r="F121" s="28">
        <f>SUM(F120:F120)</f>
        <v>36</v>
      </c>
      <c r="G121" s="27">
        <f>SUM(G120:G120)</f>
        <v>36</v>
      </c>
      <c r="H121" s="28">
        <f>SUM(H120:H120)</f>
        <v>39.200000000000003</v>
      </c>
      <c r="I121" s="28">
        <f>SUM(I120:I120)</f>
        <v>44.3</v>
      </c>
      <c r="J121" s="270"/>
      <c r="K121" s="311"/>
      <c r="L121" s="311"/>
      <c r="M121" s="312"/>
      <c r="N121" s="274"/>
      <c r="O121" s="274"/>
      <c r="P121" s="274"/>
      <c r="Q121" s="274"/>
      <c r="R121" s="269">
        <f>(G121-F121)/F121</f>
        <v>0</v>
      </c>
    </row>
    <row r="122" spans="1:18" s="259" customFormat="1" ht="12.75" x14ac:dyDescent="0.2">
      <c r="A122" s="283" t="s">
        <v>0</v>
      </c>
      <c r="B122" s="275" t="s">
        <v>25</v>
      </c>
      <c r="C122" s="276"/>
      <c r="D122" s="276" t="s">
        <v>31</v>
      </c>
      <c r="E122" s="277" t="s">
        <v>238</v>
      </c>
      <c r="F122" s="40">
        <f>F121</f>
        <v>36</v>
      </c>
      <c r="G122" s="39">
        <f>G121</f>
        <v>36</v>
      </c>
      <c r="H122" s="40">
        <f>H121</f>
        <v>39.200000000000003</v>
      </c>
      <c r="I122" s="40">
        <f>I121</f>
        <v>44.3</v>
      </c>
      <c r="J122" s="280"/>
      <c r="K122" s="279"/>
      <c r="L122" s="279"/>
      <c r="M122" s="279"/>
      <c r="N122" s="280"/>
      <c r="O122" s="280"/>
      <c r="P122" s="280"/>
      <c r="Q122" s="280"/>
      <c r="R122" s="258"/>
    </row>
    <row r="123" spans="1:18" s="259" customFormat="1" ht="51" x14ac:dyDescent="0.2">
      <c r="A123" s="486" t="s">
        <v>0</v>
      </c>
      <c r="B123" s="543" t="s">
        <v>26</v>
      </c>
      <c r="C123" s="527"/>
      <c r="D123" s="487" t="s">
        <v>18</v>
      </c>
      <c r="E123" s="529" t="s">
        <v>633</v>
      </c>
      <c r="F123" s="529"/>
      <c r="G123" s="529"/>
      <c r="H123" s="529"/>
      <c r="I123" s="529"/>
      <c r="J123" s="527" t="s">
        <v>864</v>
      </c>
      <c r="K123" s="260" t="s">
        <v>632</v>
      </c>
      <c r="L123" s="260" t="s">
        <v>631</v>
      </c>
      <c r="M123" s="260" t="s">
        <v>11</v>
      </c>
      <c r="N123" s="249">
        <v>5</v>
      </c>
      <c r="O123" s="249">
        <v>5</v>
      </c>
      <c r="P123" s="249">
        <v>5</v>
      </c>
      <c r="Q123" s="527" t="s">
        <v>1024</v>
      </c>
      <c r="R123" s="258"/>
    </row>
    <row r="124" spans="1:18" s="259" customFormat="1" ht="12.75" x14ac:dyDescent="0.2">
      <c r="A124" s="486"/>
      <c r="B124" s="543"/>
      <c r="C124" s="527"/>
      <c r="D124" s="487"/>
      <c r="E124" s="529"/>
      <c r="F124" s="529"/>
      <c r="G124" s="529"/>
      <c r="H124" s="529"/>
      <c r="I124" s="529"/>
      <c r="J124" s="527"/>
      <c r="K124" s="260" t="s">
        <v>630</v>
      </c>
      <c r="L124" s="251" t="s">
        <v>629</v>
      </c>
      <c r="M124" s="260" t="s">
        <v>12</v>
      </c>
      <c r="N124" s="249">
        <v>5</v>
      </c>
      <c r="O124" s="249">
        <v>5</v>
      </c>
      <c r="P124" s="249">
        <v>5</v>
      </c>
      <c r="Q124" s="527"/>
      <c r="R124" s="313"/>
    </row>
    <row r="125" spans="1:18" s="259" customFormat="1" ht="12.75" x14ac:dyDescent="0.2">
      <c r="A125" s="486" t="s">
        <v>0</v>
      </c>
      <c r="B125" s="543" t="s">
        <v>26</v>
      </c>
      <c r="C125" s="489" t="s">
        <v>0</v>
      </c>
      <c r="D125" s="489" t="s">
        <v>78</v>
      </c>
      <c r="E125" s="490" t="s">
        <v>628</v>
      </c>
      <c r="F125" s="490"/>
      <c r="G125" s="490"/>
      <c r="H125" s="490"/>
      <c r="I125" s="490"/>
      <c r="J125" s="544" t="s">
        <v>854</v>
      </c>
      <c r="K125" s="86" t="s">
        <v>627</v>
      </c>
      <c r="L125" s="86" t="s">
        <v>626</v>
      </c>
      <c r="M125" s="263" t="s">
        <v>12</v>
      </c>
      <c r="N125" s="228">
        <v>20</v>
      </c>
      <c r="O125" s="228">
        <v>20</v>
      </c>
      <c r="P125" s="228">
        <v>20</v>
      </c>
      <c r="Q125" s="544" t="s">
        <v>1025</v>
      </c>
      <c r="R125" s="258"/>
    </row>
    <row r="126" spans="1:18" s="259" customFormat="1" ht="12.75" x14ac:dyDescent="0.2">
      <c r="A126" s="486"/>
      <c r="B126" s="543"/>
      <c r="C126" s="489"/>
      <c r="D126" s="489"/>
      <c r="E126" s="490"/>
      <c r="F126" s="490"/>
      <c r="G126" s="490"/>
      <c r="H126" s="490"/>
      <c r="I126" s="490"/>
      <c r="J126" s="544"/>
      <c r="K126" s="86" t="s">
        <v>625</v>
      </c>
      <c r="L126" s="86" t="s">
        <v>624</v>
      </c>
      <c r="M126" s="263" t="s">
        <v>12</v>
      </c>
      <c r="N126" s="228">
        <v>20</v>
      </c>
      <c r="O126" s="228">
        <v>20</v>
      </c>
      <c r="P126" s="228">
        <v>20</v>
      </c>
      <c r="Q126" s="544"/>
      <c r="R126" s="258"/>
    </row>
    <row r="127" spans="1:18" s="259" customFormat="1" ht="12.75" x14ac:dyDescent="0.2">
      <c r="A127" s="486"/>
      <c r="B127" s="543"/>
      <c r="C127" s="489"/>
      <c r="D127" s="489"/>
      <c r="E127" s="490"/>
      <c r="F127" s="490"/>
      <c r="G127" s="490"/>
      <c r="H127" s="490"/>
      <c r="I127" s="490"/>
      <c r="J127" s="544"/>
      <c r="K127" s="86" t="s">
        <v>623</v>
      </c>
      <c r="L127" s="86" t="s">
        <v>622</v>
      </c>
      <c r="M127" s="263" t="s">
        <v>12</v>
      </c>
      <c r="N127" s="228">
        <v>5</v>
      </c>
      <c r="O127" s="228">
        <v>5</v>
      </c>
      <c r="P127" s="228">
        <v>5</v>
      </c>
      <c r="Q127" s="544"/>
      <c r="R127" s="258"/>
    </row>
    <row r="128" spans="1:18" s="259" customFormat="1" ht="12.75" x14ac:dyDescent="0.2">
      <c r="A128" s="486"/>
      <c r="B128" s="543"/>
      <c r="C128" s="489"/>
      <c r="D128" s="489"/>
      <c r="E128" s="490"/>
      <c r="F128" s="490"/>
      <c r="G128" s="490"/>
      <c r="H128" s="490"/>
      <c r="I128" s="490"/>
      <c r="J128" s="544"/>
      <c r="K128" s="86" t="s">
        <v>621</v>
      </c>
      <c r="L128" s="86" t="s">
        <v>620</v>
      </c>
      <c r="M128" s="263" t="s">
        <v>12</v>
      </c>
      <c r="N128" s="228">
        <v>5</v>
      </c>
      <c r="O128" s="228">
        <v>5</v>
      </c>
      <c r="P128" s="228">
        <v>5</v>
      </c>
      <c r="Q128" s="544"/>
      <c r="R128" s="258"/>
    </row>
    <row r="129" spans="1:18" s="259" customFormat="1" ht="12.75" x14ac:dyDescent="0.2">
      <c r="A129" s="486"/>
      <c r="B129" s="543"/>
      <c r="C129" s="489"/>
      <c r="D129" s="489"/>
      <c r="E129" s="490"/>
      <c r="F129" s="490"/>
      <c r="G129" s="490"/>
      <c r="H129" s="490"/>
      <c r="I129" s="490"/>
      <c r="J129" s="544"/>
      <c r="K129" s="86" t="s">
        <v>619</v>
      </c>
      <c r="L129" s="86" t="s">
        <v>618</v>
      </c>
      <c r="M129" s="263" t="s">
        <v>12</v>
      </c>
      <c r="N129" s="228">
        <v>1</v>
      </c>
      <c r="O129" s="228">
        <v>1</v>
      </c>
      <c r="P129" s="228">
        <v>1</v>
      </c>
      <c r="Q129" s="544"/>
      <c r="R129" s="258"/>
    </row>
    <row r="130" spans="1:18" s="259" customFormat="1" ht="12.75" x14ac:dyDescent="0.2">
      <c r="A130" s="486"/>
      <c r="B130" s="543"/>
      <c r="C130" s="489"/>
      <c r="D130" s="489"/>
      <c r="E130" s="86" t="s">
        <v>14</v>
      </c>
      <c r="F130" s="45">
        <v>10</v>
      </c>
      <c r="G130" s="363">
        <v>10</v>
      </c>
      <c r="H130" s="94">
        <f>ROUND(G130*Lapas1!$A$1,1)</f>
        <v>10.9</v>
      </c>
      <c r="I130" s="94">
        <f>ROUND(H130*Lapas1!$A$2,1)</f>
        <v>12.3</v>
      </c>
      <c r="J130" s="270"/>
      <c r="K130" s="317"/>
      <c r="L130" s="317"/>
      <c r="M130" s="318"/>
      <c r="N130" s="319"/>
      <c r="O130" s="319"/>
      <c r="P130" s="319"/>
      <c r="Q130" s="319"/>
      <c r="R130" s="313"/>
    </row>
    <row r="131" spans="1:18" s="259" customFormat="1" ht="12.75" x14ac:dyDescent="0.2">
      <c r="A131" s="486"/>
      <c r="B131" s="543"/>
      <c r="C131" s="489"/>
      <c r="D131" s="489"/>
      <c r="E131" s="239" t="s">
        <v>22</v>
      </c>
      <c r="F131" s="28">
        <f>SUM(F130:F130)</f>
        <v>10</v>
      </c>
      <c r="G131" s="27">
        <f>SUM(G130:G130)</f>
        <v>10</v>
      </c>
      <c r="H131" s="28">
        <f>SUM(H130:H130)</f>
        <v>10.9</v>
      </c>
      <c r="I131" s="28">
        <f>SUM(I130:I130)</f>
        <v>12.3</v>
      </c>
      <c r="J131" s="270"/>
      <c r="K131" s="317"/>
      <c r="L131" s="317"/>
      <c r="M131" s="318"/>
      <c r="N131" s="319"/>
      <c r="O131" s="319"/>
      <c r="P131" s="319"/>
      <c r="Q131" s="319"/>
      <c r="R131" s="269">
        <f>(G131-F131)/F131</f>
        <v>0</v>
      </c>
    </row>
    <row r="132" spans="1:18" s="259" customFormat="1" ht="12.75" x14ac:dyDescent="0.2">
      <c r="A132" s="283" t="s">
        <v>0</v>
      </c>
      <c r="B132" s="275" t="s">
        <v>26</v>
      </c>
      <c r="C132" s="249"/>
      <c r="D132" s="276" t="s">
        <v>18</v>
      </c>
      <c r="E132" s="277" t="s">
        <v>238</v>
      </c>
      <c r="F132" s="40">
        <f>F131</f>
        <v>10</v>
      </c>
      <c r="G132" s="39">
        <f>G131</f>
        <v>10</v>
      </c>
      <c r="H132" s="40">
        <f>H131</f>
        <v>10.9</v>
      </c>
      <c r="I132" s="40">
        <f>I131</f>
        <v>12.3</v>
      </c>
      <c r="J132" s="280"/>
      <c r="K132" s="280"/>
      <c r="L132" s="280"/>
      <c r="M132" s="280"/>
      <c r="N132" s="280"/>
      <c r="O132" s="280"/>
      <c r="P132" s="280"/>
      <c r="Q132" s="280"/>
      <c r="R132" s="258"/>
    </row>
    <row r="133" spans="1:18" s="259" customFormat="1" ht="53.25" customHeight="1" x14ac:dyDescent="0.2">
      <c r="A133" s="283" t="s">
        <v>0</v>
      </c>
      <c r="B133" s="275" t="s">
        <v>27</v>
      </c>
      <c r="C133" s="249"/>
      <c r="D133" s="276" t="s">
        <v>18</v>
      </c>
      <c r="E133" s="573" t="s">
        <v>1001</v>
      </c>
      <c r="F133" s="574"/>
      <c r="G133" s="574"/>
      <c r="H133" s="574"/>
      <c r="I133" s="575"/>
      <c r="J133" s="249" t="s">
        <v>19</v>
      </c>
      <c r="K133" s="260" t="s">
        <v>1002</v>
      </c>
      <c r="L133" s="260" t="s">
        <v>829</v>
      </c>
      <c r="M133" s="249" t="s">
        <v>11</v>
      </c>
      <c r="N133" s="249">
        <v>40</v>
      </c>
      <c r="O133" s="249">
        <v>40</v>
      </c>
      <c r="P133" s="249">
        <v>40</v>
      </c>
      <c r="Q133" s="249" t="s">
        <v>19</v>
      </c>
      <c r="R133" s="258"/>
    </row>
    <row r="134" spans="1:18" s="259" customFormat="1" ht="24.75" customHeight="1" x14ac:dyDescent="0.2">
      <c r="A134" s="563" t="s">
        <v>0</v>
      </c>
      <c r="B134" s="491" t="s">
        <v>27</v>
      </c>
      <c r="C134" s="566" t="s">
        <v>0</v>
      </c>
      <c r="D134" s="518" t="s">
        <v>78</v>
      </c>
      <c r="E134" s="509" t="s">
        <v>1000</v>
      </c>
      <c r="F134" s="510"/>
      <c r="G134" s="510"/>
      <c r="H134" s="510"/>
      <c r="I134" s="511"/>
      <c r="J134" s="228" t="s">
        <v>19</v>
      </c>
      <c r="K134" s="263" t="s">
        <v>830</v>
      </c>
      <c r="L134" s="263" t="s">
        <v>831</v>
      </c>
      <c r="M134" s="228" t="s">
        <v>11</v>
      </c>
      <c r="N134" s="228">
        <v>40</v>
      </c>
      <c r="O134" s="228">
        <v>40</v>
      </c>
      <c r="P134" s="228">
        <v>40</v>
      </c>
      <c r="Q134" s="228" t="s">
        <v>19</v>
      </c>
      <c r="R134" s="258"/>
    </row>
    <row r="135" spans="1:18" s="259" customFormat="1" ht="24.75" customHeight="1" x14ac:dyDescent="0.2">
      <c r="A135" s="564"/>
      <c r="B135" s="576"/>
      <c r="C135" s="567"/>
      <c r="D135" s="519"/>
      <c r="E135" s="512"/>
      <c r="F135" s="513"/>
      <c r="G135" s="513"/>
      <c r="H135" s="513"/>
      <c r="I135" s="514"/>
      <c r="J135" s="228" t="s">
        <v>19</v>
      </c>
      <c r="K135" s="263" t="s">
        <v>908</v>
      </c>
      <c r="L135" s="263" t="s">
        <v>909</v>
      </c>
      <c r="M135" s="228" t="s">
        <v>11</v>
      </c>
      <c r="N135" s="228">
        <v>60</v>
      </c>
      <c r="O135" s="228">
        <v>60</v>
      </c>
      <c r="P135" s="228">
        <v>60</v>
      </c>
      <c r="Q135" s="228" t="s">
        <v>19</v>
      </c>
      <c r="R135" s="258"/>
    </row>
    <row r="136" spans="1:18" s="259" customFormat="1" ht="24.75" customHeight="1" x14ac:dyDescent="0.2">
      <c r="A136" s="564"/>
      <c r="B136" s="576"/>
      <c r="C136" s="567"/>
      <c r="D136" s="519"/>
      <c r="E136" s="515"/>
      <c r="F136" s="516"/>
      <c r="G136" s="516"/>
      <c r="H136" s="516"/>
      <c r="I136" s="517"/>
      <c r="J136" s="228" t="s">
        <v>19</v>
      </c>
      <c r="K136" s="263" t="s">
        <v>998</v>
      </c>
      <c r="L136" s="390" t="s">
        <v>999</v>
      </c>
      <c r="M136" s="228" t="s">
        <v>12</v>
      </c>
      <c r="N136" s="228">
        <v>1</v>
      </c>
      <c r="O136" s="228">
        <v>2</v>
      </c>
      <c r="P136" s="228">
        <v>3</v>
      </c>
      <c r="Q136" s="228" t="s">
        <v>19</v>
      </c>
      <c r="R136" s="258"/>
    </row>
    <row r="137" spans="1:18" s="259" customFormat="1" ht="12.75" x14ac:dyDescent="0.2">
      <c r="A137" s="564"/>
      <c r="B137" s="576"/>
      <c r="C137" s="567"/>
      <c r="D137" s="519"/>
      <c r="E137" s="320" t="s">
        <v>14</v>
      </c>
      <c r="F137" s="45"/>
      <c r="G137" s="363"/>
      <c r="H137" s="94">
        <f>ROUND(G137*Lapas1!$A$1,1)</f>
        <v>0</v>
      </c>
      <c r="I137" s="94">
        <f>ROUND(H137*Lapas1!$A$2,1)</f>
        <v>0</v>
      </c>
      <c r="J137" s="321"/>
      <c r="K137" s="321"/>
      <c r="L137" s="321"/>
      <c r="M137" s="321"/>
      <c r="N137" s="321"/>
      <c r="O137" s="321"/>
      <c r="P137" s="321"/>
      <c r="Q137" s="321"/>
      <c r="R137" s="269" t="e">
        <f>(G137-F137)/F137</f>
        <v>#DIV/0!</v>
      </c>
    </row>
    <row r="138" spans="1:18" s="259" customFormat="1" ht="12.75" x14ac:dyDescent="0.2">
      <c r="A138" s="565"/>
      <c r="B138" s="492"/>
      <c r="C138" s="568"/>
      <c r="D138" s="520"/>
      <c r="E138" s="239" t="s">
        <v>22</v>
      </c>
      <c r="F138" s="28">
        <f t="shared" ref="F138:I138" si="2">F137</f>
        <v>0</v>
      </c>
      <c r="G138" s="27">
        <f t="shared" si="2"/>
        <v>0</v>
      </c>
      <c r="H138" s="28">
        <f t="shared" si="2"/>
        <v>0</v>
      </c>
      <c r="I138" s="28">
        <f t="shared" si="2"/>
        <v>0</v>
      </c>
      <c r="J138" s="321"/>
      <c r="K138" s="321"/>
      <c r="L138" s="321"/>
      <c r="M138" s="321"/>
      <c r="N138" s="321"/>
      <c r="O138" s="321"/>
      <c r="P138" s="321"/>
      <c r="Q138" s="321"/>
      <c r="R138" s="322"/>
    </row>
    <row r="139" spans="1:18" s="259" customFormat="1" ht="12.75" x14ac:dyDescent="0.2">
      <c r="A139" s="283"/>
      <c r="B139" s="275"/>
      <c r="C139" s="249"/>
      <c r="D139" s="276"/>
      <c r="E139" s="277" t="s">
        <v>238</v>
      </c>
      <c r="F139" s="40">
        <f>F138</f>
        <v>0</v>
      </c>
      <c r="G139" s="39">
        <f>G138</f>
        <v>0</v>
      </c>
      <c r="H139" s="40">
        <f>H138</f>
        <v>0</v>
      </c>
      <c r="I139" s="40">
        <f>I138</f>
        <v>0</v>
      </c>
      <c r="J139" s="280"/>
      <c r="K139" s="280"/>
      <c r="L139" s="280"/>
      <c r="M139" s="280"/>
      <c r="N139" s="280"/>
      <c r="O139" s="280"/>
      <c r="P139" s="280"/>
      <c r="Q139" s="280"/>
      <c r="R139" s="258"/>
    </row>
    <row r="140" spans="1:18" s="259" customFormat="1" ht="13.5" x14ac:dyDescent="0.2">
      <c r="A140" s="283" t="s">
        <v>0</v>
      </c>
      <c r="B140" s="284"/>
      <c r="C140" s="284"/>
      <c r="D140" s="284"/>
      <c r="E140" s="285" t="s">
        <v>239</v>
      </c>
      <c r="F140" s="36">
        <f>F51+F108+F116+F132+F122+F139</f>
        <v>13854.852000000001</v>
      </c>
      <c r="G140" s="35">
        <f>G51+G108+G116+G132+G122+G139</f>
        <v>15424.674000000003</v>
      </c>
      <c r="H140" s="36">
        <f>H51+H108+H116+H132+H122+H139</f>
        <v>16812.7</v>
      </c>
      <c r="I140" s="357">
        <f>I51+I108+I116+I132+I122+I139</f>
        <v>18998.199999999997</v>
      </c>
      <c r="J140" s="323"/>
      <c r="K140" s="323"/>
      <c r="L140" s="323"/>
      <c r="M140" s="323"/>
      <c r="N140" s="323"/>
      <c r="O140" s="323"/>
      <c r="P140" s="323"/>
      <c r="Q140" s="323"/>
      <c r="R140" s="258"/>
    </row>
    <row r="141" spans="1:18" s="259" customFormat="1" ht="12.75" x14ac:dyDescent="0.2">
      <c r="A141" s="256" t="s">
        <v>10</v>
      </c>
      <c r="B141" s="284"/>
      <c r="C141" s="284"/>
      <c r="D141" s="284"/>
      <c r="E141" s="561" t="s">
        <v>617</v>
      </c>
      <c r="F141" s="561"/>
      <c r="G141" s="561"/>
      <c r="H141" s="561"/>
      <c r="I141" s="561"/>
      <c r="J141" s="561"/>
      <c r="K141" s="561"/>
      <c r="L141" s="561"/>
      <c r="M141" s="561"/>
      <c r="N141" s="561"/>
      <c r="O141" s="561"/>
      <c r="P141" s="561"/>
      <c r="Q141" s="561"/>
      <c r="R141" s="258"/>
    </row>
    <row r="142" spans="1:18" s="259" customFormat="1" ht="25.5" x14ac:dyDescent="0.2">
      <c r="A142" s="256" t="s">
        <v>10</v>
      </c>
      <c r="B142" s="77" t="s">
        <v>0</v>
      </c>
      <c r="C142" s="77"/>
      <c r="D142" s="77" t="s">
        <v>31</v>
      </c>
      <c r="E142" s="529" t="s">
        <v>616</v>
      </c>
      <c r="F142" s="529"/>
      <c r="G142" s="529"/>
      <c r="H142" s="529"/>
      <c r="I142" s="529"/>
      <c r="J142" s="249" t="s">
        <v>19</v>
      </c>
      <c r="K142" s="260" t="s">
        <v>615</v>
      </c>
      <c r="L142" s="260" t="s">
        <v>614</v>
      </c>
      <c r="M142" s="260" t="s">
        <v>11</v>
      </c>
      <c r="N142" s="249">
        <v>90</v>
      </c>
      <c r="O142" s="249">
        <v>90</v>
      </c>
      <c r="P142" s="249">
        <v>90</v>
      </c>
      <c r="Q142" s="324" t="s">
        <v>19</v>
      </c>
      <c r="R142" s="258"/>
    </row>
    <row r="143" spans="1:18" s="259" customFormat="1" ht="13.5" x14ac:dyDescent="0.2">
      <c r="A143" s="563" t="s">
        <v>10</v>
      </c>
      <c r="B143" s="488" t="s">
        <v>0</v>
      </c>
      <c r="C143" s="499" t="s">
        <v>0</v>
      </c>
      <c r="D143" s="499" t="s">
        <v>21</v>
      </c>
      <c r="E143" s="490" t="s">
        <v>613</v>
      </c>
      <c r="F143" s="490"/>
      <c r="G143" s="490"/>
      <c r="H143" s="490"/>
      <c r="I143" s="490"/>
      <c r="J143" s="262" t="s">
        <v>19</v>
      </c>
      <c r="K143" s="86" t="s">
        <v>612</v>
      </c>
      <c r="L143" s="86" t="s">
        <v>611</v>
      </c>
      <c r="M143" s="263" t="s">
        <v>12</v>
      </c>
      <c r="N143" s="228">
        <v>2</v>
      </c>
      <c r="O143" s="228">
        <v>2</v>
      </c>
      <c r="P143" s="228">
        <v>2</v>
      </c>
      <c r="Q143" s="243" t="s">
        <v>19</v>
      </c>
      <c r="R143" s="258"/>
    </row>
    <row r="144" spans="1:18" s="259" customFormat="1" ht="12.75" x14ac:dyDescent="0.2">
      <c r="A144" s="564"/>
      <c r="B144" s="488"/>
      <c r="C144" s="499"/>
      <c r="D144" s="499"/>
      <c r="E144" s="86" t="s">
        <v>14</v>
      </c>
      <c r="F144" s="31">
        <v>1.5</v>
      </c>
      <c r="G144" s="30">
        <v>1</v>
      </c>
      <c r="H144" s="94">
        <f>ROUND(G144*Lapas1!$A$1,1)</f>
        <v>1.1000000000000001</v>
      </c>
      <c r="I144" s="94">
        <f>ROUND(H144*Lapas1!$A$2,1)</f>
        <v>1.2</v>
      </c>
      <c r="J144" s="270"/>
      <c r="K144" s="311"/>
      <c r="L144" s="311"/>
      <c r="M144" s="312"/>
      <c r="N144" s="274"/>
      <c r="O144" s="274"/>
      <c r="P144" s="274"/>
      <c r="Q144" s="319"/>
      <c r="R144" s="313"/>
    </row>
    <row r="145" spans="1:18" s="259" customFormat="1" ht="12.75" x14ac:dyDescent="0.2">
      <c r="A145" s="565"/>
      <c r="B145" s="488"/>
      <c r="C145" s="499"/>
      <c r="D145" s="499"/>
      <c r="E145" s="239" t="s">
        <v>22</v>
      </c>
      <c r="F145" s="28">
        <f>SUM(F144:F144)</f>
        <v>1.5</v>
      </c>
      <c r="G145" s="27">
        <f>SUM(G144:G144)</f>
        <v>1</v>
      </c>
      <c r="H145" s="28">
        <f>SUM(H144:H144)</f>
        <v>1.1000000000000001</v>
      </c>
      <c r="I145" s="28">
        <f>SUM(I144:I144)</f>
        <v>1.2</v>
      </c>
      <c r="J145" s="270"/>
      <c r="K145" s="311"/>
      <c r="L145" s="311"/>
      <c r="M145" s="312"/>
      <c r="N145" s="274"/>
      <c r="O145" s="274"/>
      <c r="P145" s="274"/>
      <c r="Q145" s="319"/>
      <c r="R145" s="269">
        <f>(G145-F145)/F145</f>
        <v>-0.33333333333333331</v>
      </c>
    </row>
    <row r="146" spans="1:18" s="259" customFormat="1" ht="13.5" x14ac:dyDescent="0.2">
      <c r="A146" s="563" t="s">
        <v>10</v>
      </c>
      <c r="B146" s="488" t="s">
        <v>0</v>
      </c>
      <c r="C146" s="489" t="s">
        <v>10</v>
      </c>
      <c r="D146" s="489" t="s">
        <v>255</v>
      </c>
      <c r="E146" s="490" t="s">
        <v>610</v>
      </c>
      <c r="F146" s="490"/>
      <c r="G146" s="490"/>
      <c r="H146" s="490"/>
      <c r="I146" s="490"/>
      <c r="J146" s="262" t="s">
        <v>19</v>
      </c>
      <c r="K146" s="86" t="s">
        <v>609</v>
      </c>
      <c r="L146" s="263" t="s">
        <v>608</v>
      </c>
      <c r="M146" s="263" t="s">
        <v>12</v>
      </c>
      <c r="N146" s="291">
        <v>1</v>
      </c>
      <c r="O146" s="314">
        <v>1</v>
      </c>
      <c r="P146" s="314">
        <v>1</v>
      </c>
      <c r="Q146" s="325" t="s">
        <v>19</v>
      </c>
      <c r="R146" s="258"/>
    </row>
    <row r="147" spans="1:18" s="259" customFormat="1" ht="12.75" x14ac:dyDescent="0.2">
      <c r="A147" s="564"/>
      <c r="B147" s="488"/>
      <c r="C147" s="489"/>
      <c r="D147" s="489"/>
      <c r="E147" s="86" t="s">
        <v>14</v>
      </c>
      <c r="F147" s="31"/>
      <c r="G147" s="30"/>
      <c r="H147" s="31"/>
      <c r="I147" s="31"/>
      <c r="J147" s="270"/>
      <c r="K147" s="311"/>
      <c r="L147" s="311"/>
      <c r="M147" s="312"/>
      <c r="N147" s="274"/>
      <c r="O147" s="274"/>
      <c r="P147" s="274"/>
      <c r="Q147" s="319"/>
      <c r="R147" s="313"/>
    </row>
    <row r="148" spans="1:18" s="259" customFormat="1" ht="12.75" x14ac:dyDescent="0.2">
      <c r="A148" s="565"/>
      <c r="B148" s="488"/>
      <c r="C148" s="489"/>
      <c r="D148" s="489"/>
      <c r="E148" s="239" t="s">
        <v>22</v>
      </c>
      <c r="F148" s="28">
        <f>SUM(F147:F147)</f>
        <v>0</v>
      </c>
      <c r="G148" s="27">
        <f>SUM(G147:G147)</f>
        <v>0</v>
      </c>
      <c r="H148" s="28">
        <f>SUM(H147:H147)</f>
        <v>0</v>
      </c>
      <c r="I148" s="28">
        <f>SUM(I147:I147)</f>
        <v>0</v>
      </c>
      <c r="J148" s="270"/>
      <c r="K148" s="311"/>
      <c r="L148" s="311"/>
      <c r="M148" s="312"/>
      <c r="N148" s="274"/>
      <c r="O148" s="274"/>
      <c r="P148" s="274"/>
      <c r="Q148" s="319"/>
      <c r="R148" s="269" t="e">
        <f>(G148-F148)/F148</f>
        <v>#DIV/0!</v>
      </c>
    </row>
    <row r="149" spans="1:18" s="259" customFormat="1" ht="13.5" x14ac:dyDescent="0.2">
      <c r="A149" s="563" t="s">
        <v>10</v>
      </c>
      <c r="B149" s="488" t="s">
        <v>0</v>
      </c>
      <c r="C149" s="489" t="s">
        <v>24</v>
      </c>
      <c r="D149" s="489" t="s">
        <v>21</v>
      </c>
      <c r="E149" s="490" t="s">
        <v>607</v>
      </c>
      <c r="F149" s="490"/>
      <c r="G149" s="490"/>
      <c r="H149" s="490"/>
      <c r="I149" s="490"/>
      <c r="J149" s="262" t="s">
        <v>19</v>
      </c>
      <c r="K149" s="86" t="s">
        <v>606</v>
      </c>
      <c r="L149" s="86" t="s">
        <v>605</v>
      </c>
      <c r="M149" s="263" t="s">
        <v>12</v>
      </c>
      <c r="N149" s="228">
        <v>1</v>
      </c>
      <c r="O149" s="228">
        <v>1</v>
      </c>
      <c r="P149" s="228">
        <v>1</v>
      </c>
      <c r="Q149" s="243" t="s">
        <v>19</v>
      </c>
      <c r="R149" s="258"/>
    </row>
    <row r="150" spans="1:18" s="259" customFormat="1" ht="12.75" x14ac:dyDescent="0.2">
      <c r="A150" s="564"/>
      <c r="B150" s="488"/>
      <c r="C150" s="489"/>
      <c r="D150" s="489"/>
      <c r="E150" s="86" t="s">
        <v>14</v>
      </c>
      <c r="F150" s="31">
        <v>1</v>
      </c>
      <c r="G150" s="30">
        <v>1</v>
      </c>
      <c r="H150" s="94">
        <f>ROUND(G150*Lapas1!$A$1,1)</f>
        <v>1.1000000000000001</v>
      </c>
      <c r="I150" s="94">
        <f>ROUND(H150*Lapas1!$A$2,1)</f>
        <v>1.2</v>
      </c>
      <c r="J150" s="270"/>
      <c r="K150" s="317"/>
      <c r="L150" s="317"/>
      <c r="M150" s="318"/>
      <c r="N150" s="319"/>
      <c r="O150" s="319"/>
      <c r="P150" s="319"/>
      <c r="Q150" s="319"/>
      <c r="R150" s="313"/>
    </row>
    <row r="151" spans="1:18" s="259" customFormat="1" ht="12.75" x14ac:dyDescent="0.2">
      <c r="A151" s="565"/>
      <c r="B151" s="488"/>
      <c r="C151" s="489"/>
      <c r="D151" s="489"/>
      <c r="E151" s="239" t="s">
        <v>22</v>
      </c>
      <c r="F151" s="28">
        <f>SUM(F150:F150)</f>
        <v>1</v>
      </c>
      <c r="G151" s="27">
        <f>SUM(G150:G150)</f>
        <v>1</v>
      </c>
      <c r="H151" s="28">
        <f>SUM(H150:H150)</f>
        <v>1.1000000000000001</v>
      </c>
      <c r="I151" s="28">
        <f>SUM(I150:I150)</f>
        <v>1.2</v>
      </c>
      <c r="J151" s="270"/>
      <c r="K151" s="317"/>
      <c r="L151" s="317"/>
      <c r="M151" s="318"/>
      <c r="N151" s="319"/>
      <c r="O151" s="319"/>
      <c r="P151" s="319"/>
      <c r="Q151" s="319"/>
      <c r="R151" s="269">
        <f>(G150-F150)/147</f>
        <v>0</v>
      </c>
    </row>
    <row r="152" spans="1:18" s="259" customFormat="1" ht="25.5" x14ac:dyDescent="0.2">
      <c r="A152" s="563" t="s">
        <v>10</v>
      </c>
      <c r="B152" s="488" t="s">
        <v>0</v>
      </c>
      <c r="C152" s="489" t="s">
        <v>25</v>
      </c>
      <c r="D152" s="489" t="s">
        <v>21</v>
      </c>
      <c r="E152" s="490" t="s">
        <v>806</v>
      </c>
      <c r="F152" s="490"/>
      <c r="G152" s="490"/>
      <c r="H152" s="490"/>
      <c r="I152" s="490"/>
      <c r="J152" s="518" t="s">
        <v>19</v>
      </c>
      <c r="K152" s="86" t="s">
        <v>807</v>
      </c>
      <c r="L152" s="86" t="s">
        <v>809</v>
      </c>
      <c r="M152" s="263" t="s">
        <v>12</v>
      </c>
      <c r="N152" s="228">
        <v>100</v>
      </c>
      <c r="O152" s="228">
        <v>100</v>
      </c>
      <c r="P152" s="228">
        <v>100</v>
      </c>
      <c r="Q152" s="243" t="s">
        <v>19</v>
      </c>
      <c r="R152" s="258"/>
    </row>
    <row r="153" spans="1:18" s="259" customFormat="1" ht="12.75" x14ac:dyDescent="0.2">
      <c r="A153" s="564"/>
      <c r="B153" s="488"/>
      <c r="C153" s="489"/>
      <c r="D153" s="489"/>
      <c r="E153" s="490"/>
      <c r="F153" s="490"/>
      <c r="G153" s="490"/>
      <c r="H153" s="490"/>
      <c r="I153" s="490"/>
      <c r="J153" s="520"/>
      <c r="K153" s="86" t="s">
        <v>808</v>
      </c>
      <c r="L153" s="86" t="s">
        <v>605</v>
      </c>
      <c r="M153" s="263" t="s">
        <v>12</v>
      </c>
      <c r="N153" s="228">
        <v>2</v>
      </c>
      <c r="O153" s="228">
        <v>2</v>
      </c>
      <c r="P153" s="228">
        <v>2</v>
      </c>
      <c r="Q153" s="243" t="s">
        <v>19</v>
      </c>
      <c r="R153" s="258"/>
    </row>
    <row r="154" spans="1:18" s="259" customFormat="1" ht="12.75" x14ac:dyDescent="0.2">
      <c r="A154" s="564"/>
      <c r="B154" s="488"/>
      <c r="C154" s="489"/>
      <c r="D154" s="489"/>
      <c r="E154" s="86" t="s">
        <v>14</v>
      </c>
      <c r="F154" s="31">
        <v>1</v>
      </c>
      <c r="G154" s="30">
        <v>1</v>
      </c>
      <c r="H154" s="94">
        <f>ROUND(G154*Lapas1!$A$1,1)</f>
        <v>1.1000000000000001</v>
      </c>
      <c r="I154" s="94">
        <f>ROUND(H154*Lapas1!$A$2,1)</f>
        <v>1.2</v>
      </c>
      <c r="J154" s="270"/>
      <c r="K154" s="317"/>
      <c r="L154" s="317"/>
      <c r="M154" s="318"/>
      <c r="N154" s="319"/>
      <c r="O154" s="319"/>
      <c r="P154" s="319"/>
      <c r="Q154" s="319"/>
      <c r="R154" s="313"/>
    </row>
    <row r="155" spans="1:18" s="259" customFormat="1" ht="12.75" x14ac:dyDescent="0.2">
      <c r="A155" s="565"/>
      <c r="B155" s="488"/>
      <c r="C155" s="489"/>
      <c r="D155" s="489"/>
      <c r="E155" s="239" t="s">
        <v>22</v>
      </c>
      <c r="F155" s="28">
        <f>SUM(F154:F154)</f>
        <v>1</v>
      </c>
      <c r="G155" s="27">
        <f>SUM(G154:G154)</f>
        <v>1</v>
      </c>
      <c r="H155" s="28">
        <f>SUM(H154:H154)</f>
        <v>1.1000000000000001</v>
      </c>
      <c r="I155" s="28">
        <f>SUM(I154:I154)</f>
        <v>1.2</v>
      </c>
      <c r="J155" s="270"/>
      <c r="K155" s="317"/>
      <c r="L155" s="317"/>
      <c r="M155" s="318"/>
      <c r="N155" s="319"/>
      <c r="O155" s="319"/>
      <c r="P155" s="319"/>
      <c r="Q155" s="319"/>
      <c r="R155" s="269">
        <f>(G154-F154)/147</f>
        <v>0</v>
      </c>
    </row>
    <row r="156" spans="1:18" s="259" customFormat="1" ht="12.75" x14ac:dyDescent="0.2">
      <c r="A156" s="283" t="s">
        <v>10</v>
      </c>
      <c r="B156" s="275" t="s">
        <v>0</v>
      </c>
      <c r="C156" s="276"/>
      <c r="D156" s="276" t="s">
        <v>31</v>
      </c>
      <c r="E156" s="277" t="s">
        <v>238</v>
      </c>
      <c r="F156" s="40">
        <f>F145+F148+F151+F154</f>
        <v>3.5</v>
      </c>
      <c r="G156" s="39">
        <f>G145+G148+G151+G154</f>
        <v>3</v>
      </c>
      <c r="H156" s="40">
        <f>H145+H148+H151+H154</f>
        <v>3.3000000000000003</v>
      </c>
      <c r="I156" s="40">
        <f>I145+I148+I151+I154</f>
        <v>3.5999999999999996</v>
      </c>
      <c r="J156" s="280"/>
      <c r="K156" s="280"/>
      <c r="L156" s="280"/>
      <c r="M156" s="280"/>
      <c r="N156" s="280"/>
      <c r="O156" s="280"/>
      <c r="P156" s="280"/>
      <c r="Q156" s="280"/>
      <c r="R156" s="258"/>
    </row>
    <row r="157" spans="1:18" s="259" customFormat="1" ht="12.75" x14ac:dyDescent="0.2">
      <c r="A157" s="283" t="s">
        <v>10</v>
      </c>
      <c r="B157" s="284"/>
      <c r="C157" s="284"/>
      <c r="D157" s="284"/>
      <c r="E157" s="285" t="s">
        <v>239</v>
      </c>
      <c r="F157" s="36">
        <f>F156</f>
        <v>3.5</v>
      </c>
      <c r="G157" s="35">
        <f>G156</f>
        <v>3</v>
      </c>
      <c r="H157" s="36">
        <f>H156</f>
        <v>3.3000000000000003</v>
      </c>
      <c r="I157" s="36">
        <f>I156</f>
        <v>3.5999999999999996</v>
      </c>
      <c r="J157" s="323"/>
      <c r="K157" s="323"/>
      <c r="L157" s="323"/>
      <c r="M157" s="323"/>
      <c r="N157" s="323"/>
      <c r="O157" s="323"/>
      <c r="P157" s="323"/>
      <c r="Q157" s="323"/>
      <c r="R157" s="258"/>
    </row>
    <row r="158" spans="1:18" s="259" customFormat="1" ht="12.75" x14ac:dyDescent="0.2">
      <c r="A158" s="48"/>
      <c r="B158" s="48"/>
      <c r="C158" s="48"/>
      <c r="D158" s="48"/>
      <c r="E158" s="299" t="s">
        <v>240</v>
      </c>
      <c r="F158" s="21">
        <f>F140+F157</f>
        <v>13858.352000000001</v>
      </c>
      <c r="G158" s="364">
        <f>G140+G157</f>
        <v>15427.674000000003</v>
      </c>
      <c r="H158" s="21">
        <f>H140+H157</f>
        <v>16816</v>
      </c>
      <c r="I158" s="21">
        <f>I140+I157</f>
        <v>19001.799999999996</v>
      </c>
      <c r="J158" s="326"/>
      <c r="K158" s="326"/>
      <c r="L158" s="326"/>
      <c r="M158" s="326"/>
      <c r="N158" s="326"/>
      <c r="O158" s="326"/>
      <c r="P158" s="326"/>
      <c r="Q158" s="326"/>
      <c r="R158" s="258"/>
    </row>
    <row r="159" spans="1:18" ht="39.75" customHeight="1" x14ac:dyDescent="0.2">
      <c r="A159" s="536" t="s">
        <v>790</v>
      </c>
      <c r="B159" s="536"/>
      <c r="C159" s="536"/>
      <c r="D159" s="536"/>
      <c r="E159" s="536"/>
      <c r="F159" s="536"/>
      <c r="G159" s="536"/>
      <c r="H159" s="536"/>
      <c r="I159" s="536"/>
      <c r="J159" s="536"/>
      <c r="K159" s="536"/>
    </row>
    <row r="160" spans="1:18" ht="28.5" customHeight="1" x14ac:dyDescent="0.2">
      <c r="A160" s="535" t="s">
        <v>795</v>
      </c>
      <c r="B160" s="535"/>
      <c r="C160" s="535"/>
      <c r="D160" s="535"/>
      <c r="E160" s="535"/>
      <c r="F160" s="535"/>
      <c r="G160" s="535"/>
      <c r="H160" s="535"/>
      <c r="I160" s="535"/>
      <c r="J160" s="535"/>
      <c r="K160" s="535"/>
    </row>
    <row r="161" spans="1:18" ht="18" customHeight="1" x14ac:dyDescent="0.2">
      <c r="R161" s="307"/>
    </row>
    <row r="162" spans="1:18" ht="12.75" x14ac:dyDescent="0.2">
      <c r="A162" s="537" t="s">
        <v>4</v>
      </c>
      <c r="B162" s="537"/>
      <c r="C162" s="537"/>
      <c r="D162" s="537"/>
      <c r="E162" s="537"/>
      <c r="F162" s="537"/>
      <c r="G162" s="537"/>
      <c r="H162" s="537"/>
      <c r="I162" s="537"/>
    </row>
    <row r="163" spans="1:18" ht="27.75" customHeight="1" x14ac:dyDescent="0.2">
      <c r="A163" s="562" t="s">
        <v>13</v>
      </c>
      <c r="B163" s="562"/>
      <c r="C163" s="562"/>
      <c r="D163" s="562"/>
      <c r="E163" s="327" t="s">
        <v>14</v>
      </c>
      <c r="F163" s="28">
        <f>F19+F24+F31+F39+F44+F49+F81+F111+F114+F120+F130+F144+F148+F150+F137+F154</f>
        <v>11863</v>
      </c>
      <c r="G163" s="27">
        <f>G19+G24+G31+G39+G44+G49+G81+G111+G114+G120+G130+G144+G148+G150+G137+G154</f>
        <v>13273.4</v>
      </c>
      <c r="H163" s="28">
        <f>H19+H24+H31+H39+H44+H49+H81+H111+H114+H120+H130+H144+H148+H150+H137+H154</f>
        <v>14468.000000000002</v>
      </c>
      <c r="I163" s="28">
        <f>I19+I24+I31+I39+I44+I49+I81+I111+I114+I120+I130+I144+I148+I150+I137+I154</f>
        <v>16348.500000000002</v>
      </c>
    </row>
    <row r="164" spans="1:18" ht="27.75" customHeight="1" x14ac:dyDescent="0.2">
      <c r="A164" s="562" t="s">
        <v>20</v>
      </c>
      <c r="B164" s="562"/>
      <c r="C164" s="562"/>
      <c r="D164" s="562"/>
      <c r="E164" s="327" t="s">
        <v>15</v>
      </c>
      <c r="F164" s="28">
        <f>F46+F54+F57+F60+F65+F68+F71+F74+F82+F85+F88+F93+F96+F99+F102+F106</f>
        <v>1723.0520000000001</v>
      </c>
      <c r="G164" s="27">
        <f>G46+G54+G57+G60+G65+G68+G71+G74+G82+G85+G88+G93+G96+G99+G102+G106</f>
        <v>1796.5440000000001</v>
      </c>
      <c r="H164" s="28">
        <f>H46+H54+H57+H60+H65+H68+H71+H74+H82+H85+H88+H93+H96+H99+H102+H106</f>
        <v>1958.1000000000001</v>
      </c>
      <c r="I164" s="28">
        <f>I46+I54+I57+I60+I65+I68+I71+I74+I82+I85+I88+I93+I96+I99+I102+I106</f>
        <v>2212.7000000000003</v>
      </c>
    </row>
    <row r="165" spans="1:18" ht="50.25" customHeight="1" x14ac:dyDescent="0.2">
      <c r="A165" s="562" t="s">
        <v>16</v>
      </c>
      <c r="B165" s="562"/>
      <c r="C165" s="562"/>
      <c r="D165" s="562"/>
      <c r="E165" s="327" t="s">
        <v>17</v>
      </c>
      <c r="F165" s="28">
        <f>F25+F40+F45</f>
        <v>272.3</v>
      </c>
      <c r="G165" s="27">
        <f>G25+G40+G45</f>
        <v>357.73</v>
      </c>
      <c r="H165" s="28">
        <f>H25+H40+H45</f>
        <v>389.9</v>
      </c>
      <c r="I165" s="28">
        <f>I25+I40+I45</f>
        <v>440.6</v>
      </c>
    </row>
    <row r="166" spans="1:18" ht="27.75" customHeight="1" x14ac:dyDescent="0.2">
      <c r="A166" s="562" t="s">
        <v>231</v>
      </c>
      <c r="B166" s="562"/>
      <c r="C166" s="562"/>
      <c r="D166" s="562"/>
      <c r="E166" s="327" t="s">
        <v>232</v>
      </c>
      <c r="F166" s="58"/>
      <c r="G166" s="361"/>
      <c r="H166" s="58"/>
      <c r="I166" s="58"/>
    </row>
    <row r="167" spans="1:18" ht="27.75" customHeight="1" x14ac:dyDescent="0.2">
      <c r="A167" s="562" t="s">
        <v>230</v>
      </c>
      <c r="B167" s="562"/>
      <c r="C167" s="562"/>
      <c r="D167" s="562"/>
      <c r="E167" s="327" t="s">
        <v>18</v>
      </c>
      <c r="F167" s="58"/>
      <c r="G167" s="361"/>
      <c r="H167" s="58"/>
      <c r="I167" s="58"/>
    </row>
    <row r="168" spans="1:18" ht="12.75" x14ac:dyDescent="0.2">
      <c r="A168" s="562" t="s">
        <v>169</v>
      </c>
      <c r="B168" s="562"/>
      <c r="C168" s="562"/>
      <c r="D168" s="562"/>
      <c r="E168" s="327" t="s">
        <v>162</v>
      </c>
      <c r="F168" s="58"/>
      <c r="G168" s="361"/>
      <c r="H168" s="58"/>
      <c r="I168" s="58"/>
    </row>
    <row r="169" spans="1:18" ht="27" customHeight="1" x14ac:dyDescent="0.2">
      <c r="A169" s="539" t="s">
        <v>3</v>
      </c>
      <c r="B169" s="539"/>
      <c r="C169" s="539"/>
      <c r="D169" s="539"/>
      <c r="E169" s="539"/>
      <c r="F169" s="52">
        <f>SUM(F163:F168)</f>
        <v>13858.351999999999</v>
      </c>
      <c r="G169" s="365">
        <f>SUM(G163:G168)</f>
        <v>15427.673999999999</v>
      </c>
      <c r="H169" s="52">
        <f>SUM(H163:H168)</f>
        <v>16816.000000000004</v>
      </c>
      <c r="I169" s="52">
        <f>SUM(I163:I168)</f>
        <v>19001.8</v>
      </c>
    </row>
    <row r="170" spans="1:18" ht="12.75" x14ac:dyDescent="0.2">
      <c r="A170" s="538" t="s">
        <v>7</v>
      </c>
      <c r="B170" s="538"/>
      <c r="C170" s="538"/>
      <c r="D170" s="538"/>
      <c r="E170" s="538"/>
      <c r="F170" s="56"/>
      <c r="G170" s="366"/>
      <c r="H170" s="56"/>
      <c r="I170" s="56"/>
    </row>
    <row r="171" spans="1:18" ht="12.75" x14ac:dyDescent="0.2">
      <c r="A171" s="538" t="s">
        <v>5</v>
      </c>
      <c r="B171" s="538"/>
      <c r="C171" s="538"/>
      <c r="D171" s="538"/>
      <c r="E171" s="538"/>
      <c r="F171" s="56">
        <f>F131+F138</f>
        <v>10</v>
      </c>
      <c r="G171" s="366">
        <f>G131+G138</f>
        <v>10</v>
      </c>
      <c r="H171" s="56">
        <f>H131+H138</f>
        <v>10.9</v>
      </c>
      <c r="I171" s="56">
        <f>I131+I138</f>
        <v>12.3</v>
      </c>
    </row>
    <row r="172" spans="1:18" ht="18" customHeight="1" x14ac:dyDescent="0.2">
      <c r="A172" s="538" t="s">
        <v>6</v>
      </c>
      <c r="B172" s="538"/>
      <c r="C172" s="538"/>
      <c r="D172" s="538"/>
      <c r="E172" s="538"/>
      <c r="F172" s="56">
        <f>F169-F171</f>
        <v>13848.351999999999</v>
      </c>
      <c r="G172" s="366">
        <f t="shared" ref="G172:I172" si="3">G169-G171</f>
        <v>15417.673999999999</v>
      </c>
      <c r="H172" s="56">
        <f t="shared" si="3"/>
        <v>16805.100000000002</v>
      </c>
      <c r="I172" s="56">
        <f t="shared" si="3"/>
        <v>18989.5</v>
      </c>
    </row>
    <row r="174" spans="1:18" ht="18" hidden="1" customHeight="1" x14ac:dyDescent="0.2">
      <c r="E174" s="10" t="s">
        <v>23</v>
      </c>
      <c r="F174" s="13">
        <f>F169-F158</f>
        <v>0</v>
      </c>
      <c r="G174" s="12">
        <f>G169-G158</f>
        <v>0</v>
      </c>
      <c r="H174" s="13">
        <f>H169-H158</f>
        <v>0</v>
      </c>
      <c r="I174" s="13">
        <f>I169-I158</f>
        <v>0</v>
      </c>
    </row>
    <row r="175" spans="1:18" ht="18" hidden="1" customHeight="1" x14ac:dyDescent="0.2">
      <c r="F175" s="129">
        <f>F171+F172-F158</f>
        <v>0</v>
      </c>
      <c r="G175" s="155">
        <f>G171+G172-G158</f>
        <v>0</v>
      </c>
      <c r="H175" s="129">
        <f>H171+H172-H158</f>
        <v>0</v>
      </c>
      <c r="I175" s="129">
        <f>I171+I172-I158</f>
        <v>0</v>
      </c>
    </row>
  </sheetData>
  <mergeCells count="212">
    <mergeCell ref="A169:E169"/>
    <mergeCell ref="A170:E170"/>
    <mergeCell ref="A171:E171"/>
    <mergeCell ref="A172:E172"/>
    <mergeCell ref="A164:D164"/>
    <mergeCell ref="A165:D165"/>
    <mergeCell ref="A166:D166"/>
    <mergeCell ref="J118:J119"/>
    <mergeCell ref="B123:B124"/>
    <mergeCell ref="J123:J124"/>
    <mergeCell ref="E123:I124"/>
    <mergeCell ref="B125:B131"/>
    <mergeCell ref="J125:J129"/>
    <mergeCell ref="E125:I129"/>
    <mergeCell ref="C146:C148"/>
    <mergeCell ref="B149:B151"/>
    <mergeCell ref="C149:C151"/>
    <mergeCell ref="A167:D167"/>
    <mergeCell ref="A168:D168"/>
    <mergeCell ref="A160:K160"/>
    <mergeCell ref="E133:I133"/>
    <mergeCell ref="A134:A138"/>
    <mergeCell ref="B134:B138"/>
    <mergeCell ref="B143:B145"/>
    <mergeCell ref="D84:D86"/>
    <mergeCell ref="E84:I84"/>
    <mergeCell ref="C87:C89"/>
    <mergeCell ref="C90:C94"/>
    <mergeCell ref="J90:J92"/>
    <mergeCell ref="C95:C97"/>
    <mergeCell ref="C98:C100"/>
    <mergeCell ref="C101:C103"/>
    <mergeCell ref="C104:C107"/>
    <mergeCell ref="J104:J105"/>
    <mergeCell ref="J62:J64"/>
    <mergeCell ref="C73:C75"/>
    <mergeCell ref="D73:D75"/>
    <mergeCell ref="C76:C83"/>
    <mergeCell ref="D76:D83"/>
    <mergeCell ref="D67:D69"/>
    <mergeCell ref="D70:D72"/>
    <mergeCell ref="E76:I80"/>
    <mergeCell ref="J76:J80"/>
    <mergeCell ref="J17:J18"/>
    <mergeCell ref="C21:C26"/>
    <mergeCell ref="J21:J23"/>
    <mergeCell ref="J27:J30"/>
    <mergeCell ref="C33:C41"/>
    <mergeCell ref="J33:J38"/>
    <mergeCell ref="D27:D32"/>
    <mergeCell ref="D33:D41"/>
    <mergeCell ref="C42:C47"/>
    <mergeCell ref="J42:J43"/>
    <mergeCell ref="D42:D47"/>
    <mergeCell ref="D17:D20"/>
    <mergeCell ref="D21:D26"/>
    <mergeCell ref="E21:I23"/>
    <mergeCell ref="C17:C20"/>
    <mergeCell ref="E17:I18"/>
    <mergeCell ref="J11:J12"/>
    <mergeCell ref="K11:K12"/>
    <mergeCell ref="L11:M11"/>
    <mergeCell ref="N11:P11"/>
    <mergeCell ref="A10:P10"/>
    <mergeCell ref="E11:E12"/>
    <mergeCell ref="R11:R12"/>
    <mergeCell ref="A15:A16"/>
    <mergeCell ref="B15:B16"/>
    <mergeCell ref="J15:J16"/>
    <mergeCell ref="H11:H12"/>
    <mergeCell ref="G11:G12"/>
    <mergeCell ref="F11:F12"/>
    <mergeCell ref="I11:I12"/>
    <mergeCell ref="A11:C11"/>
    <mergeCell ref="D11:D12"/>
    <mergeCell ref="Q11:Q12"/>
    <mergeCell ref="E14:Q14"/>
    <mergeCell ref="D15:D16"/>
    <mergeCell ref="C15:C16"/>
    <mergeCell ref="E15:I16"/>
    <mergeCell ref="Q15:Q16"/>
    <mergeCell ref="A73:A75"/>
    <mergeCell ref="A76:A83"/>
    <mergeCell ref="A27:A32"/>
    <mergeCell ref="A33:A41"/>
    <mergeCell ref="A42:A47"/>
    <mergeCell ref="A48:A50"/>
    <mergeCell ref="A53:A55"/>
    <mergeCell ref="A56:A58"/>
    <mergeCell ref="A17:A20"/>
    <mergeCell ref="A21:A26"/>
    <mergeCell ref="A59:A61"/>
    <mergeCell ref="A62:A66"/>
    <mergeCell ref="B76:B83"/>
    <mergeCell ref="A125:A131"/>
    <mergeCell ref="B17:B20"/>
    <mergeCell ref="B21:B26"/>
    <mergeCell ref="B27:B32"/>
    <mergeCell ref="B33:B41"/>
    <mergeCell ref="B42:B47"/>
    <mergeCell ref="B48:B50"/>
    <mergeCell ref="B53:B55"/>
    <mergeCell ref="B56:B58"/>
    <mergeCell ref="A104:A107"/>
    <mergeCell ref="A110:A112"/>
    <mergeCell ref="A113:A115"/>
    <mergeCell ref="A118:A121"/>
    <mergeCell ref="A123:A124"/>
    <mergeCell ref="A84:A86"/>
    <mergeCell ref="A87:A89"/>
    <mergeCell ref="A90:A94"/>
    <mergeCell ref="A95:A97"/>
    <mergeCell ref="A98:A100"/>
    <mergeCell ref="A101:A103"/>
    <mergeCell ref="A67:A69"/>
    <mergeCell ref="A70:A72"/>
    <mergeCell ref="B67:B69"/>
    <mergeCell ref="B84:B86"/>
    <mergeCell ref="B87:B89"/>
    <mergeCell ref="B90:B94"/>
    <mergeCell ref="B95:B97"/>
    <mergeCell ref="B98:B100"/>
    <mergeCell ref="B101:B103"/>
    <mergeCell ref="B118:B121"/>
    <mergeCell ref="B104:B107"/>
    <mergeCell ref="B110:B112"/>
    <mergeCell ref="B113:B115"/>
    <mergeCell ref="C118:C121"/>
    <mergeCell ref="C125:C131"/>
    <mergeCell ref="C143:C145"/>
    <mergeCell ref="C123:C124"/>
    <mergeCell ref="C53:C55"/>
    <mergeCell ref="C56:C58"/>
    <mergeCell ref="C59:C61"/>
    <mergeCell ref="C62:C66"/>
    <mergeCell ref="C67:C69"/>
    <mergeCell ref="C70:C72"/>
    <mergeCell ref="C84:C86"/>
    <mergeCell ref="C110:C112"/>
    <mergeCell ref="C113:C115"/>
    <mergeCell ref="C134:C138"/>
    <mergeCell ref="B70:B72"/>
    <mergeCell ref="E56:I56"/>
    <mergeCell ref="E59:I59"/>
    <mergeCell ref="E62:I64"/>
    <mergeCell ref="E67:I67"/>
    <mergeCell ref="E70:I70"/>
    <mergeCell ref="E73:I73"/>
    <mergeCell ref="E27:I30"/>
    <mergeCell ref="E33:I38"/>
    <mergeCell ref="E42:I43"/>
    <mergeCell ref="E48:I48"/>
    <mergeCell ref="E52:I52"/>
    <mergeCell ref="E53:I53"/>
    <mergeCell ref="B73:B75"/>
    <mergeCell ref="D53:D55"/>
    <mergeCell ref="D56:D58"/>
    <mergeCell ref="D59:D61"/>
    <mergeCell ref="D62:D66"/>
    <mergeCell ref="B59:B61"/>
    <mergeCell ref="B62:B66"/>
    <mergeCell ref="C27:C32"/>
    <mergeCell ref="C48:C50"/>
    <mergeCell ref="D48:D50"/>
    <mergeCell ref="D134:D138"/>
    <mergeCell ref="E109:I109"/>
    <mergeCell ref="E110:I110"/>
    <mergeCell ref="E113:I113"/>
    <mergeCell ref="E117:I117"/>
    <mergeCell ref="E118:I119"/>
    <mergeCell ref="E87:I87"/>
    <mergeCell ref="E90:I92"/>
    <mergeCell ref="E95:I95"/>
    <mergeCell ref="E98:I98"/>
    <mergeCell ref="E101:I101"/>
    <mergeCell ref="E104:I105"/>
    <mergeCell ref="D118:D121"/>
    <mergeCell ref="D123:D124"/>
    <mergeCell ref="D125:D131"/>
    <mergeCell ref="D87:D89"/>
    <mergeCell ref="D90:D94"/>
    <mergeCell ref="D95:D97"/>
    <mergeCell ref="D98:D100"/>
    <mergeCell ref="D101:D103"/>
    <mergeCell ref="D104:D107"/>
    <mergeCell ref="D110:D112"/>
    <mergeCell ref="D113:D115"/>
    <mergeCell ref="A163:D163"/>
    <mergeCell ref="D143:D145"/>
    <mergeCell ref="D146:D148"/>
    <mergeCell ref="D149:D151"/>
    <mergeCell ref="A162:I162"/>
    <mergeCell ref="A159:K159"/>
    <mergeCell ref="B152:B155"/>
    <mergeCell ref="C152:C155"/>
    <mergeCell ref="D152:D155"/>
    <mergeCell ref="E152:I153"/>
    <mergeCell ref="J152:J153"/>
    <mergeCell ref="A143:A145"/>
    <mergeCell ref="A146:A148"/>
    <mergeCell ref="A149:A151"/>
    <mergeCell ref="A152:A155"/>
    <mergeCell ref="B146:B148"/>
    <mergeCell ref="Q90:Q92"/>
    <mergeCell ref="E134:I136"/>
    <mergeCell ref="Q123:Q124"/>
    <mergeCell ref="Q125:Q129"/>
    <mergeCell ref="E141:Q141"/>
    <mergeCell ref="E142:I142"/>
    <mergeCell ref="E143:I143"/>
    <mergeCell ref="E146:I146"/>
    <mergeCell ref="E149:I149"/>
  </mergeCell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rowBreaks count="5" manualBreakCount="5">
    <brk id="41" max="16" man="1"/>
    <brk id="69" max="16" man="1"/>
    <brk id="100" max="16" man="1"/>
    <brk id="141" max="16" man="1"/>
    <brk id="172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0"/>
  <sheetViews>
    <sheetView zoomScale="80" zoomScaleNormal="80" workbookViewId="0">
      <pane ySplit="13" topLeftCell="A14" activePane="bottomLeft" state="frozen"/>
      <selection pane="bottomLeft" activeCell="D14" sqref="D14"/>
    </sheetView>
  </sheetViews>
  <sheetFormatPr defaultColWidth="9.140625" defaultRowHeight="12.75" x14ac:dyDescent="0.2"/>
  <cols>
    <col min="1" max="2" width="5" style="87" customWidth="1"/>
    <col min="3" max="4" width="5" style="1" customWidth="1"/>
    <col min="5" max="5" width="17.7109375" style="1" customWidth="1"/>
    <col min="6" max="6" width="13" style="1" customWidth="1"/>
    <col min="7" max="7" width="13" style="3" customWidth="1"/>
    <col min="8" max="9" width="13" style="1" customWidth="1"/>
    <col min="10" max="11" width="24.7109375" style="1" customWidth="1"/>
    <col min="12" max="12" width="49.7109375" style="1" customWidth="1"/>
    <col min="13" max="16" width="6.28515625" style="1" customWidth="1"/>
    <col min="17" max="17" width="32.7109375" style="1" customWidth="1"/>
    <col min="18" max="18" width="11.7109375" style="88" hidden="1" customWidth="1"/>
    <col min="19" max="19" width="7.85546875" style="1" hidden="1" customWidth="1"/>
    <col min="20" max="16384" width="9.140625" style="1"/>
  </cols>
  <sheetData>
    <row r="1" spans="1:18" x14ac:dyDescent="0.2">
      <c r="L1" s="164"/>
      <c r="Q1" s="1" t="str">
        <f>'001'!Q1</f>
        <v>PATVIRTINTA</v>
      </c>
    </row>
    <row r="2" spans="1:18" x14ac:dyDescent="0.2">
      <c r="L2" s="164"/>
      <c r="Q2" s="1" t="str">
        <f>'001'!Q2</f>
        <v>Plungės rajono savivaldybės tarybos</v>
      </c>
    </row>
    <row r="3" spans="1:18" x14ac:dyDescent="0.2">
      <c r="L3" s="164"/>
      <c r="Q3" s="1" t="str">
        <f>'001'!Q3</f>
        <v>2026 m. vasario 12 d. sprendimu Nr. T1-</v>
      </c>
    </row>
    <row r="4" spans="1:18" hidden="1" x14ac:dyDescent="0.2">
      <c r="L4" s="164"/>
      <c r="Q4" s="1" t="str">
        <f>'001'!Q4</f>
        <v xml:space="preserve">(2026 m. mėn. d. sprendimo Nr. </v>
      </c>
    </row>
    <row r="5" spans="1:18" hidden="1" x14ac:dyDescent="0.2">
      <c r="L5" s="164"/>
      <c r="Q5" s="1" t="str">
        <f>'001'!Q5</f>
        <v>T1- redakcija)</v>
      </c>
    </row>
    <row r="6" spans="1:18" x14ac:dyDescent="0.2">
      <c r="L6" s="164"/>
      <c r="Q6" s="1" t="str">
        <f>'001'!Q6</f>
        <v xml:space="preserve">Plungės rajono savivaldybės </v>
      </c>
    </row>
    <row r="7" spans="1:18" x14ac:dyDescent="0.2">
      <c r="H7" s="6" t="s">
        <v>784</v>
      </c>
      <c r="J7" s="6"/>
      <c r="L7" s="163"/>
      <c r="Q7" s="1" t="str">
        <f>'001'!Q7</f>
        <v>2026–2028 metų  strateginio veiklos plano</v>
      </c>
    </row>
    <row r="8" spans="1:18" x14ac:dyDescent="0.2">
      <c r="H8" s="6" t="s">
        <v>783</v>
      </c>
      <c r="J8" s="6"/>
      <c r="L8" s="163"/>
      <c r="Q8" s="1" t="s">
        <v>785</v>
      </c>
    </row>
    <row r="9" spans="1:18" x14ac:dyDescent="0.2">
      <c r="H9" s="162"/>
      <c r="I9" s="162"/>
      <c r="J9" s="162"/>
    </row>
    <row r="10" spans="1:18" x14ac:dyDescent="0.2">
      <c r="A10" s="589" t="s">
        <v>926</v>
      </c>
      <c r="B10" s="589"/>
      <c r="C10" s="589"/>
      <c r="D10" s="589"/>
      <c r="E10" s="589"/>
      <c r="F10" s="589"/>
      <c r="G10" s="589"/>
      <c r="H10" s="589"/>
      <c r="I10" s="589"/>
      <c r="J10" s="589"/>
      <c r="K10" s="589"/>
      <c r="L10" s="589"/>
      <c r="M10" s="589"/>
      <c r="N10" s="589"/>
      <c r="O10" s="589"/>
      <c r="P10" s="589"/>
      <c r="Q10" s="89" t="s">
        <v>244</v>
      </c>
      <c r="R10" s="90"/>
    </row>
    <row r="11" spans="1:18" ht="26.25" customHeight="1" x14ac:dyDescent="0.2">
      <c r="A11" s="418" t="str">
        <f>'001'!A11:R13</f>
        <v>Kodas</v>
      </c>
      <c r="B11" s="418"/>
      <c r="C11" s="418"/>
      <c r="D11" s="443" t="str">
        <f>'001'!D11:D12</f>
        <v>Uždavinio/ priemonės požymis *</v>
      </c>
      <c r="E11" s="418" t="str">
        <f>'001'!E11:E12</f>
        <v>Programos tikslo/uždavinio/priemonės pavadinimas ir finansavimo šaltiniai</v>
      </c>
      <c r="F11" s="418" t="str">
        <f>'001'!F11:F12</f>
        <v>2025-ųjų m. asignavimai ir kitos lėšos (2025-02-13 datai)</v>
      </c>
      <c r="G11" s="442" t="str">
        <f>'001'!G11:G12</f>
        <v>2026-ųjų m. asignavimai ir kitos lėšos</v>
      </c>
      <c r="H11" s="418" t="str">
        <f>'001'!H11:H12</f>
        <v>Planuojami 2027-ųjų m. asignavimai ir kitos lėšos</v>
      </c>
      <c r="I11" s="418" t="str">
        <f>'001'!I11:I12</f>
        <v>Planuojami 2028-ųjų m. asignavimai ir kitos lėšos</v>
      </c>
      <c r="J11" s="418" t="str">
        <f>'001'!J11:J12</f>
        <v>Savivaldybės strateginio plėtros plano tikslo/uždavinio kodas**</v>
      </c>
      <c r="K11" s="418" t="str">
        <f>'001'!K11:K12</f>
        <v>Stebėsenos rodiklio kodas</v>
      </c>
      <c r="L11" s="417" t="str">
        <f>'001'!L11:M11</f>
        <v>Stebėsenos rodiklio</v>
      </c>
      <c r="M11" s="417"/>
      <c r="N11" s="417" t="str">
        <f>'001'!N11:P11</f>
        <v>Siektinos stebėsenos rodiklių reikšmės</v>
      </c>
      <c r="O11" s="417"/>
      <c r="P11" s="417"/>
      <c r="Q11" s="417" t="str">
        <f>'001'!Q11:Q12</f>
        <v>Savivaldybės strateginio plėtros plano rodiklio kodas**</v>
      </c>
      <c r="R11" s="441" t="str">
        <f>'001'!R11:R12</f>
        <v>Asignavimų skirtumas (2024 m.- 2025 m.)</v>
      </c>
    </row>
    <row r="12" spans="1:18" ht="83.25" customHeight="1" x14ac:dyDescent="0.2">
      <c r="A12" s="68" t="str">
        <f>'001'!A12</f>
        <v>tikslo</v>
      </c>
      <c r="B12" s="68" t="str">
        <f>'001'!B12</f>
        <v>uždavinio</v>
      </c>
      <c r="C12" s="68" t="str">
        <f>'001'!C12</f>
        <v>priemonės</v>
      </c>
      <c r="D12" s="443"/>
      <c r="E12" s="418"/>
      <c r="F12" s="418"/>
      <c r="G12" s="442"/>
      <c r="H12" s="418"/>
      <c r="I12" s="418"/>
      <c r="J12" s="418"/>
      <c r="K12" s="418"/>
      <c r="L12" s="72" t="str">
        <f>'001'!L12</f>
        <v>pavadinimas</v>
      </c>
      <c r="M12" s="72" t="str">
        <f>'001'!M12</f>
        <v>mato vnt.</v>
      </c>
      <c r="N12" s="72">
        <f>'001'!N12</f>
        <v>2026</v>
      </c>
      <c r="O12" s="72">
        <f>'001'!O12</f>
        <v>2027</v>
      </c>
      <c r="P12" s="72">
        <f>'001'!P12</f>
        <v>2028</v>
      </c>
      <c r="Q12" s="417"/>
      <c r="R12" s="441"/>
    </row>
    <row r="13" spans="1:18" x14ac:dyDescent="0.2">
      <c r="A13" s="47">
        <f>'001'!A13</f>
        <v>1</v>
      </c>
      <c r="B13" s="47">
        <f>'001'!B13</f>
        <v>2</v>
      </c>
      <c r="C13" s="47">
        <f>'001'!C13</f>
        <v>3</v>
      </c>
      <c r="D13" s="47">
        <f>'001'!D13</f>
        <v>4</v>
      </c>
      <c r="E13" s="47">
        <f>'001'!E13</f>
        <v>5</v>
      </c>
      <c r="F13" s="47">
        <f>'001'!F13</f>
        <v>6</v>
      </c>
      <c r="G13" s="48">
        <f>'001'!G13</f>
        <v>7</v>
      </c>
      <c r="H13" s="47">
        <f>'001'!H13</f>
        <v>8</v>
      </c>
      <c r="I13" s="47">
        <f>'001'!I13</f>
        <v>9</v>
      </c>
      <c r="J13" s="47">
        <f>'001'!J13</f>
        <v>10</v>
      </c>
      <c r="K13" s="47">
        <f>'001'!K13</f>
        <v>11</v>
      </c>
      <c r="L13" s="47">
        <f>'001'!L13</f>
        <v>12</v>
      </c>
      <c r="M13" s="47">
        <f>'001'!M13</f>
        <v>13</v>
      </c>
      <c r="N13" s="47">
        <f>'001'!N13</f>
        <v>14</v>
      </c>
      <c r="O13" s="47">
        <f>'001'!O13</f>
        <v>15</v>
      </c>
      <c r="P13" s="47">
        <f>'001'!P13</f>
        <v>16</v>
      </c>
      <c r="Q13" s="47">
        <f>'001'!Q13</f>
        <v>17</v>
      </c>
      <c r="R13" s="47">
        <f>'001'!R13</f>
        <v>18</v>
      </c>
    </row>
    <row r="14" spans="1:18" s="175" customFormat="1" x14ac:dyDescent="0.2">
      <c r="A14" s="131" t="s">
        <v>0</v>
      </c>
      <c r="B14" s="91"/>
      <c r="C14" s="91"/>
      <c r="D14" s="91"/>
      <c r="E14" s="584" t="s">
        <v>782</v>
      </c>
      <c r="F14" s="585"/>
      <c r="G14" s="585"/>
      <c r="H14" s="585"/>
      <c r="I14" s="585"/>
      <c r="J14" s="585"/>
      <c r="K14" s="585"/>
      <c r="L14" s="585"/>
      <c r="M14" s="585"/>
      <c r="N14" s="585"/>
      <c r="O14" s="585"/>
      <c r="P14" s="586"/>
      <c r="Q14" s="587"/>
      <c r="R14" s="216"/>
    </row>
    <row r="15" spans="1:18" s="175" customFormat="1" ht="25.5" x14ac:dyDescent="0.2">
      <c r="A15" s="393" t="s">
        <v>0</v>
      </c>
      <c r="B15" s="404" t="s">
        <v>0</v>
      </c>
      <c r="C15" s="400"/>
      <c r="D15" s="400" t="s">
        <v>18</v>
      </c>
      <c r="E15" s="425" t="s">
        <v>846</v>
      </c>
      <c r="F15" s="426"/>
      <c r="G15" s="426"/>
      <c r="H15" s="426"/>
      <c r="I15" s="427"/>
      <c r="J15" s="400" t="s">
        <v>781</v>
      </c>
      <c r="K15" s="92" t="s">
        <v>780</v>
      </c>
      <c r="L15" s="92" t="s">
        <v>913</v>
      </c>
      <c r="M15" s="92" t="s">
        <v>12</v>
      </c>
      <c r="N15" s="229">
        <v>4</v>
      </c>
      <c r="O15" s="229">
        <v>4</v>
      </c>
      <c r="P15" s="354" t="s">
        <v>1032</v>
      </c>
      <c r="Q15" s="590" t="s">
        <v>1028</v>
      </c>
      <c r="R15" s="216"/>
    </row>
    <row r="16" spans="1:18" s="175" customFormat="1" x14ac:dyDescent="0.2">
      <c r="A16" s="393"/>
      <c r="B16" s="404"/>
      <c r="C16" s="400"/>
      <c r="D16" s="400"/>
      <c r="E16" s="428"/>
      <c r="F16" s="429"/>
      <c r="G16" s="429"/>
      <c r="H16" s="429"/>
      <c r="I16" s="430"/>
      <c r="J16" s="400"/>
      <c r="K16" s="92" t="s">
        <v>779</v>
      </c>
      <c r="L16" s="92" t="s">
        <v>777</v>
      </c>
      <c r="M16" s="92" t="s">
        <v>11</v>
      </c>
      <c r="N16" s="229">
        <v>9.65</v>
      </c>
      <c r="O16" s="229">
        <v>9.6999999999999993</v>
      </c>
      <c r="P16" s="354" t="s">
        <v>1033</v>
      </c>
      <c r="Q16" s="591"/>
      <c r="R16" s="216"/>
    </row>
    <row r="17" spans="1:19" s="175" customFormat="1" ht="25.5" x14ac:dyDescent="0.2">
      <c r="A17" s="393"/>
      <c r="B17" s="404"/>
      <c r="C17" s="400"/>
      <c r="D17" s="400"/>
      <c r="E17" s="431"/>
      <c r="F17" s="432"/>
      <c r="G17" s="432"/>
      <c r="H17" s="432"/>
      <c r="I17" s="433"/>
      <c r="J17" s="400"/>
      <c r="K17" s="92" t="s">
        <v>778</v>
      </c>
      <c r="L17" s="92" t="s">
        <v>776</v>
      </c>
      <c r="M17" s="92" t="s">
        <v>12</v>
      </c>
      <c r="N17" s="229">
        <v>3</v>
      </c>
      <c r="O17" s="229">
        <v>3</v>
      </c>
      <c r="P17" s="354" t="s">
        <v>1034</v>
      </c>
      <c r="Q17" s="592"/>
      <c r="R17" s="216"/>
    </row>
    <row r="18" spans="1:19" s="175" customFormat="1" ht="13.5" x14ac:dyDescent="0.2">
      <c r="A18" s="393" t="s">
        <v>0</v>
      </c>
      <c r="B18" s="394" t="s">
        <v>0</v>
      </c>
      <c r="C18" s="588" t="s">
        <v>0</v>
      </c>
      <c r="D18" s="588" t="s">
        <v>21</v>
      </c>
      <c r="E18" s="577" t="s">
        <v>775</v>
      </c>
      <c r="F18" s="578"/>
      <c r="G18" s="578"/>
      <c r="H18" s="578"/>
      <c r="I18" s="579"/>
      <c r="J18" s="132" t="s">
        <v>19</v>
      </c>
      <c r="K18" s="69" t="s">
        <v>774</v>
      </c>
      <c r="L18" s="69" t="s">
        <v>773</v>
      </c>
      <c r="M18" s="67" t="s">
        <v>12</v>
      </c>
      <c r="N18" s="173">
        <v>7</v>
      </c>
      <c r="O18" s="173">
        <v>9</v>
      </c>
      <c r="P18" s="376">
        <v>9</v>
      </c>
      <c r="Q18" s="173" t="s">
        <v>19</v>
      </c>
      <c r="R18" s="216"/>
    </row>
    <row r="19" spans="1:19" s="175" customFormat="1" x14ac:dyDescent="0.2">
      <c r="A19" s="393"/>
      <c r="B19" s="394"/>
      <c r="C19" s="588"/>
      <c r="D19" s="588"/>
      <c r="E19" s="138" t="s">
        <v>14</v>
      </c>
      <c r="F19" s="94">
        <v>960</v>
      </c>
      <c r="G19" s="94">
        <v>670</v>
      </c>
      <c r="H19" s="94">
        <f>ROUND(G19*Lapas1!$A$1,1)</f>
        <v>730.3</v>
      </c>
      <c r="I19" s="94">
        <f>ROUND(H19*Lapas1!$A$2,1)</f>
        <v>825.2</v>
      </c>
      <c r="J19" s="171"/>
      <c r="K19" s="118"/>
      <c r="L19" s="119"/>
      <c r="M19" s="119"/>
      <c r="N19" s="167"/>
      <c r="O19" s="230"/>
      <c r="P19" s="230"/>
      <c r="Q19" s="230"/>
      <c r="R19" s="216"/>
    </row>
    <row r="20" spans="1:19" s="175" customFormat="1" x14ac:dyDescent="0.2">
      <c r="A20" s="393"/>
      <c r="B20" s="394"/>
      <c r="C20" s="588"/>
      <c r="D20" s="588"/>
      <c r="E20" s="104" t="s">
        <v>22</v>
      </c>
      <c r="F20" s="99">
        <f>SUM(F19)</f>
        <v>960</v>
      </c>
      <c r="G20" s="159">
        <f>SUM(G19)</f>
        <v>670</v>
      </c>
      <c r="H20" s="99">
        <f>SUM(H19)</f>
        <v>730.3</v>
      </c>
      <c r="I20" s="99">
        <f>SUM(I19)</f>
        <v>825.2</v>
      </c>
      <c r="J20" s="171"/>
      <c r="K20" s="118"/>
      <c r="L20" s="119"/>
      <c r="M20" s="119"/>
      <c r="N20" s="167"/>
      <c r="O20" s="230"/>
      <c r="P20" s="230"/>
      <c r="Q20" s="230"/>
      <c r="R20" s="42">
        <f>(G20-F20)/F20</f>
        <v>-0.30208333333333331</v>
      </c>
    </row>
    <row r="21" spans="1:19" s="175" customFormat="1" ht="13.5" x14ac:dyDescent="0.2">
      <c r="A21" s="393" t="s">
        <v>0</v>
      </c>
      <c r="B21" s="394" t="s">
        <v>0</v>
      </c>
      <c r="C21" s="580" t="s">
        <v>10</v>
      </c>
      <c r="D21" s="580" t="s">
        <v>78</v>
      </c>
      <c r="E21" s="581" t="s">
        <v>772</v>
      </c>
      <c r="F21" s="582"/>
      <c r="G21" s="582"/>
      <c r="H21" s="582"/>
      <c r="I21" s="583"/>
      <c r="J21" s="138" t="s">
        <v>771</v>
      </c>
      <c r="K21" s="69" t="s">
        <v>770</v>
      </c>
      <c r="L21" s="69" t="s">
        <v>769</v>
      </c>
      <c r="M21" s="67" t="s">
        <v>12</v>
      </c>
      <c r="N21" s="173">
        <v>2</v>
      </c>
      <c r="O21" s="173">
        <v>3</v>
      </c>
      <c r="P21" s="173">
        <v>3</v>
      </c>
      <c r="Q21" s="173" t="s">
        <v>786</v>
      </c>
      <c r="R21" s="216"/>
    </row>
    <row r="22" spans="1:19" s="175" customFormat="1" x14ac:dyDescent="0.2">
      <c r="A22" s="393"/>
      <c r="B22" s="394"/>
      <c r="C22" s="580"/>
      <c r="D22" s="580"/>
      <c r="E22" s="138" t="s">
        <v>14</v>
      </c>
      <c r="F22" s="94">
        <v>588</v>
      </c>
      <c r="G22" s="94">
        <v>460</v>
      </c>
      <c r="H22" s="94">
        <f>ROUND(G22*Lapas1!$A$1,1)</f>
        <v>501.4</v>
      </c>
      <c r="I22" s="94">
        <f>ROUND(H22*Lapas1!$A$2,1)</f>
        <v>566.6</v>
      </c>
      <c r="J22" s="171"/>
      <c r="K22" s="118"/>
      <c r="L22" s="119"/>
      <c r="M22" s="119"/>
      <c r="N22" s="167"/>
      <c r="O22" s="230"/>
      <c r="P22" s="230"/>
      <c r="Q22" s="230"/>
      <c r="R22" s="216"/>
    </row>
    <row r="23" spans="1:19" s="175" customFormat="1" x14ac:dyDescent="0.2">
      <c r="A23" s="393"/>
      <c r="B23" s="394"/>
      <c r="C23" s="580"/>
      <c r="D23" s="580"/>
      <c r="E23" s="104" t="s">
        <v>22</v>
      </c>
      <c r="F23" s="99">
        <f>SUM(F22)</f>
        <v>588</v>
      </c>
      <c r="G23" s="159">
        <f>SUM(G22)</f>
        <v>460</v>
      </c>
      <c r="H23" s="99">
        <f>SUM(H22)</f>
        <v>501.4</v>
      </c>
      <c r="I23" s="99">
        <f>SUM(I22)</f>
        <v>566.6</v>
      </c>
      <c r="J23" s="171"/>
      <c r="K23" s="118"/>
      <c r="L23" s="119"/>
      <c r="M23" s="119"/>
      <c r="N23" s="167"/>
      <c r="O23" s="230"/>
      <c r="P23" s="230"/>
      <c r="Q23" s="230"/>
      <c r="R23" s="42">
        <f>(G23-F23)/F23</f>
        <v>-0.21768707482993196</v>
      </c>
      <c r="S23" s="231">
        <f>((G23+G20)-(F23+F20))/(F23+F20)</f>
        <v>-0.27002583979328165</v>
      </c>
    </row>
    <row r="24" spans="1:19" s="175" customFormat="1" ht="31.5" customHeight="1" x14ac:dyDescent="0.2">
      <c r="A24" s="393" t="s">
        <v>0</v>
      </c>
      <c r="B24" s="394" t="s">
        <v>0</v>
      </c>
      <c r="C24" s="580" t="s">
        <v>24</v>
      </c>
      <c r="D24" s="580" t="s">
        <v>21</v>
      </c>
      <c r="E24" s="577" t="s">
        <v>768</v>
      </c>
      <c r="F24" s="578"/>
      <c r="G24" s="578"/>
      <c r="H24" s="578"/>
      <c r="I24" s="579"/>
      <c r="J24" s="138" t="s">
        <v>19</v>
      </c>
      <c r="K24" s="69" t="s">
        <v>767</v>
      </c>
      <c r="L24" s="172" t="s">
        <v>766</v>
      </c>
      <c r="M24" s="67" t="s">
        <v>662</v>
      </c>
      <c r="N24" s="173">
        <v>110</v>
      </c>
      <c r="O24" s="173">
        <v>120</v>
      </c>
      <c r="P24" s="173">
        <v>120</v>
      </c>
      <c r="Q24" s="173" t="s">
        <v>19</v>
      </c>
      <c r="R24" s="216"/>
    </row>
    <row r="25" spans="1:19" s="175" customFormat="1" x14ac:dyDescent="0.2">
      <c r="A25" s="393"/>
      <c r="B25" s="394"/>
      <c r="C25" s="580"/>
      <c r="D25" s="580"/>
      <c r="E25" s="138" t="s">
        <v>14</v>
      </c>
      <c r="F25" s="94">
        <v>220</v>
      </c>
      <c r="G25" s="94">
        <v>220</v>
      </c>
      <c r="H25" s="94">
        <f>ROUND(G25*Lapas1!$A$1,1)</f>
        <v>239.8</v>
      </c>
      <c r="I25" s="94">
        <f>ROUND(H25*Lapas1!$A$2,1)</f>
        <v>271</v>
      </c>
      <c r="J25" s="171"/>
      <c r="K25" s="118"/>
      <c r="L25" s="119"/>
      <c r="M25" s="119"/>
      <c r="N25" s="167"/>
      <c r="O25" s="230"/>
      <c r="P25" s="230"/>
      <c r="Q25" s="230"/>
      <c r="R25" s="216"/>
    </row>
    <row r="26" spans="1:19" s="175" customFormat="1" x14ac:dyDescent="0.2">
      <c r="A26" s="393"/>
      <c r="B26" s="394"/>
      <c r="C26" s="580"/>
      <c r="D26" s="580"/>
      <c r="E26" s="138" t="s">
        <v>15</v>
      </c>
      <c r="F26" s="94">
        <v>1200</v>
      </c>
      <c r="G26" s="94">
        <v>1200</v>
      </c>
      <c r="H26" s="94">
        <f>ROUND(G26*Lapas1!$A$1,1)</f>
        <v>1308</v>
      </c>
      <c r="I26" s="94">
        <f>ROUND(H26*Lapas1!$A$2,1)</f>
        <v>1478</v>
      </c>
      <c r="J26" s="171"/>
      <c r="K26" s="118"/>
      <c r="L26" s="119"/>
      <c r="M26" s="119"/>
      <c r="N26" s="167"/>
      <c r="O26" s="230"/>
      <c r="P26" s="230"/>
      <c r="Q26" s="230"/>
      <c r="R26" s="216"/>
    </row>
    <row r="27" spans="1:19" s="175" customFormat="1" x14ac:dyDescent="0.2">
      <c r="A27" s="393"/>
      <c r="B27" s="394"/>
      <c r="C27" s="580"/>
      <c r="D27" s="580"/>
      <c r="E27" s="104" t="s">
        <v>22</v>
      </c>
      <c r="F27" s="99">
        <f>SUM(F25:F26)</f>
        <v>1420</v>
      </c>
      <c r="G27" s="159">
        <f>SUM(G25:G26)</f>
        <v>1420</v>
      </c>
      <c r="H27" s="99">
        <f>SUM(H25:H26)</f>
        <v>1547.8</v>
      </c>
      <c r="I27" s="99">
        <f>SUM(I25:I26)</f>
        <v>1749</v>
      </c>
      <c r="J27" s="171"/>
      <c r="K27" s="118"/>
      <c r="L27" s="119"/>
      <c r="M27" s="119"/>
      <c r="N27" s="167"/>
      <c r="O27" s="230"/>
      <c r="P27" s="230"/>
      <c r="Q27" s="230"/>
      <c r="R27" s="42">
        <f>(G27-F27)/F27</f>
        <v>0</v>
      </c>
    </row>
    <row r="28" spans="1:19" s="175" customFormat="1" ht="26.25" customHeight="1" x14ac:dyDescent="0.2">
      <c r="A28" s="393" t="s">
        <v>0</v>
      </c>
      <c r="B28" s="394" t="s">
        <v>0</v>
      </c>
      <c r="C28" s="580" t="s">
        <v>25</v>
      </c>
      <c r="D28" s="580" t="s">
        <v>78</v>
      </c>
      <c r="E28" s="577" t="s">
        <v>765</v>
      </c>
      <c r="F28" s="578"/>
      <c r="G28" s="578"/>
      <c r="H28" s="578"/>
      <c r="I28" s="579"/>
      <c r="J28" s="161" t="s">
        <v>764</v>
      </c>
      <c r="K28" s="69" t="s">
        <v>763</v>
      </c>
      <c r="L28" s="172" t="s">
        <v>762</v>
      </c>
      <c r="M28" s="67" t="s">
        <v>662</v>
      </c>
      <c r="N28" s="173">
        <v>3</v>
      </c>
      <c r="O28" s="173">
        <v>3</v>
      </c>
      <c r="P28" s="173">
        <v>3</v>
      </c>
      <c r="Q28" s="173" t="s">
        <v>787</v>
      </c>
      <c r="R28" s="216"/>
    </row>
    <row r="29" spans="1:19" s="175" customFormat="1" x14ac:dyDescent="0.2">
      <c r="A29" s="393"/>
      <c r="B29" s="394"/>
      <c r="C29" s="580"/>
      <c r="D29" s="580"/>
      <c r="E29" s="138" t="s">
        <v>14</v>
      </c>
      <c r="F29" s="94">
        <v>48</v>
      </c>
      <c r="G29" s="94">
        <v>50</v>
      </c>
      <c r="H29" s="94">
        <f>ROUND(G29*Lapas1!$A$1,1)</f>
        <v>54.5</v>
      </c>
      <c r="I29" s="94">
        <f>ROUND(H29*Lapas1!$A$2,1)</f>
        <v>61.6</v>
      </c>
      <c r="J29" s="171"/>
      <c r="K29" s="118"/>
      <c r="L29" s="119"/>
      <c r="M29" s="119"/>
      <c r="N29" s="167"/>
      <c r="O29" s="230"/>
      <c r="P29" s="230"/>
      <c r="Q29" s="230"/>
      <c r="R29" s="216"/>
    </row>
    <row r="30" spans="1:19" s="175" customFormat="1" x14ac:dyDescent="0.2">
      <c r="A30" s="393"/>
      <c r="B30" s="394"/>
      <c r="C30" s="580"/>
      <c r="D30" s="580"/>
      <c r="E30" s="138" t="s">
        <v>15</v>
      </c>
      <c r="F30" s="94">
        <v>1200</v>
      </c>
      <c r="G30" s="94">
        <v>1200</v>
      </c>
      <c r="H30" s="94">
        <f>ROUND(G30*Lapas1!$A$1,1)</f>
        <v>1308</v>
      </c>
      <c r="I30" s="94">
        <f>ROUND(H30*Lapas1!$A$2,1)</f>
        <v>1478</v>
      </c>
      <c r="J30" s="171"/>
      <c r="K30" s="118"/>
      <c r="L30" s="119"/>
      <c r="M30" s="119"/>
      <c r="N30" s="167"/>
      <c r="O30" s="230"/>
      <c r="P30" s="230"/>
      <c r="Q30" s="230"/>
      <c r="R30" s="216"/>
    </row>
    <row r="31" spans="1:19" s="175" customFormat="1" x14ac:dyDescent="0.2">
      <c r="A31" s="393"/>
      <c r="B31" s="394"/>
      <c r="C31" s="580"/>
      <c r="D31" s="580"/>
      <c r="E31" s="104" t="s">
        <v>22</v>
      </c>
      <c r="F31" s="99">
        <f>SUM(F29:F30)</f>
        <v>1248</v>
      </c>
      <c r="G31" s="159">
        <f>SUM(G29:G30)</f>
        <v>1250</v>
      </c>
      <c r="H31" s="99">
        <f>SUM(H29:H30)</f>
        <v>1362.5</v>
      </c>
      <c r="I31" s="99">
        <f>SUM(I29:I30)</f>
        <v>1539.6</v>
      </c>
      <c r="J31" s="171"/>
      <c r="K31" s="118"/>
      <c r="L31" s="119"/>
      <c r="M31" s="119"/>
      <c r="N31" s="167"/>
      <c r="O31" s="230"/>
      <c r="P31" s="230"/>
      <c r="Q31" s="230"/>
      <c r="R31" s="42">
        <f>(G31-F31)/F31</f>
        <v>1.6025641025641025E-3</v>
      </c>
      <c r="S31" s="231">
        <f>((G31+G27)-(F31+F27))/(F31+F27)</f>
        <v>7.4962518740629683E-4</v>
      </c>
    </row>
    <row r="32" spans="1:19" s="175" customFormat="1" ht="25.5" x14ac:dyDescent="0.2">
      <c r="A32" s="393" t="s">
        <v>0</v>
      </c>
      <c r="B32" s="394" t="s">
        <v>0</v>
      </c>
      <c r="C32" s="580" t="s">
        <v>26</v>
      </c>
      <c r="D32" s="580" t="s">
        <v>21</v>
      </c>
      <c r="E32" s="577" t="s">
        <v>761</v>
      </c>
      <c r="F32" s="578"/>
      <c r="G32" s="578"/>
      <c r="H32" s="578"/>
      <c r="I32" s="579"/>
      <c r="J32" s="138" t="s">
        <v>19</v>
      </c>
      <c r="K32" s="69" t="s">
        <v>760</v>
      </c>
      <c r="L32" s="172" t="s">
        <v>835</v>
      </c>
      <c r="M32" s="67" t="s">
        <v>12</v>
      </c>
      <c r="N32" s="173">
        <v>2</v>
      </c>
      <c r="O32" s="173">
        <v>2</v>
      </c>
      <c r="P32" s="173">
        <v>2</v>
      </c>
      <c r="Q32" s="173" t="s">
        <v>19</v>
      </c>
      <c r="R32" s="216"/>
    </row>
    <row r="33" spans="1:18" s="175" customFormat="1" x14ac:dyDescent="0.2">
      <c r="A33" s="393"/>
      <c r="B33" s="394"/>
      <c r="C33" s="580"/>
      <c r="D33" s="580"/>
      <c r="E33" s="138" t="s">
        <v>14</v>
      </c>
      <c r="F33" s="94">
        <v>50</v>
      </c>
      <c r="G33" s="94">
        <v>200</v>
      </c>
      <c r="H33" s="94">
        <f>ROUND(G33*Lapas1!$A$1,1)</f>
        <v>218</v>
      </c>
      <c r="I33" s="94">
        <f>ROUND(H33*Lapas1!$A$2,1)</f>
        <v>246.3</v>
      </c>
      <c r="J33" s="171"/>
      <c r="K33" s="118"/>
      <c r="L33" s="119"/>
      <c r="M33" s="119"/>
      <c r="N33" s="167"/>
      <c r="O33" s="230"/>
      <c r="P33" s="230"/>
      <c r="Q33" s="230"/>
      <c r="R33" s="216"/>
    </row>
    <row r="34" spans="1:18" s="175" customFormat="1" x14ac:dyDescent="0.2">
      <c r="A34" s="393"/>
      <c r="B34" s="394"/>
      <c r="C34" s="580"/>
      <c r="D34" s="580"/>
      <c r="E34" s="104" t="s">
        <v>22</v>
      </c>
      <c r="F34" s="99">
        <f>SUM(F33:F33)</f>
        <v>50</v>
      </c>
      <c r="G34" s="159">
        <f>SUM(G33:G33)</f>
        <v>200</v>
      </c>
      <c r="H34" s="99">
        <f>SUM(H33:H33)</f>
        <v>218</v>
      </c>
      <c r="I34" s="99">
        <f>SUM(I33:I33)</f>
        <v>246.3</v>
      </c>
      <c r="J34" s="171"/>
      <c r="K34" s="118"/>
      <c r="L34" s="119"/>
      <c r="M34" s="119"/>
      <c r="N34" s="167"/>
      <c r="O34" s="230"/>
      <c r="P34" s="230"/>
      <c r="Q34" s="230"/>
      <c r="R34" s="42">
        <f>(G34-F34)/F34</f>
        <v>3</v>
      </c>
    </row>
    <row r="35" spans="1:18" s="175" customFormat="1" ht="13.5" x14ac:dyDescent="0.2">
      <c r="A35" s="393" t="s">
        <v>0</v>
      </c>
      <c r="B35" s="394" t="s">
        <v>0</v>
      </c>
      <c r="C35" s="580" t="s">
        <v>27</v>
      </c>
      <c r="D35" s="580" t="s">
        <v>21</v>
      </c>
      <c r="E35" s="577" t="s">
        <v>759</v>
      </c>
      <c r="F35" s="578"/>
      <c r="G35" s="578"/>
      <c r="H35" s="578"/>
      <c r="I35" s="579"/>
      <c r="J35" s="138" t="s">
        <v>19</v>
      </c>
      <c r="K35" s="69" t="s">
        <v>758</v>
      </c>
      <c r="L35" s="69" t="s">
        <v>757</v>
      </c>
      <c r="M35" s="67" t="s">
        <v>12</v>
      </c>
      <c r="N35" s="173">
        <v>2</v>
      </c>
      <c r="O35" s="173">
        <v>2</v>
      </c>
      <c r="P35" s="173">
        <v>3</v>
      </c>
      <c r="Q35" s="173" t="s">
        <v>19</v>
      </c>
      <c r="R35" s="216"/>
    </row>
    <row r="36" spans="1:18" s="175" customFormat="1" x14ac:dyDescent="0.2">
      <c r="A36" s="393"/>
      <c r="B36" s="394"/>
      <c r="C36" s="580"/>
      <c r="D36" s="580"/>
      <c r="E36" s="138" t="s">
        <v>17</v>
      </c>
      <c r="F36" s="94">
        <f>150+193.5</f>
        <v>343.5</v>
      </c>
      <c r="G36" s="94">
        <f>180+123.786</f>
        <v>303.786</v>
      </c>
      <c r="H36" s="94">
        <f>ROUND(G36*Lapas1!$A$1,1)</f>
        <v>331.1</v>
      </c>
      <c r="I36" s="94">
        <f>ROUND(H36*Lapas1!$A$2,1)</f>
        <v>374.1</v>
      </c>
      <c r="J36" s="171"/>
      <c r="K36" s="118"/>
      <c r="L36" s="119"/>
      <c r="M36" s="119"/>
      <c r="N36" s="167"/>
      <c r="O36" s="230"/>
      <c r="P36" s="230"/>
      <c r="Q36" s="230"/>
      <c r="R36" s="216"/>
    </row>
    <row r="37" spans="1:18" s="175" customFormat="1" x14ac:dyDescent="0.2">
      <c r="A37" s="393"/>
      <c r="B37" s="394"/>
      <c r="C37" s="580"/>
      <c r="D37" s="580"/>
      <c r="E37" s="104" t="s">
        <v>22</v>
      </c>
      <c r="F37" s="99">
        <f>SUM(F36:F36)</f>
        <v>343.5</v>
      </c>
      <c r="G37" s="159">
        <f>SUM(G36:G36)</f>
        <v>303.786</v>
      </c>
      <c r="H37" s="99">
        <f>SUM(H36:H36)</f>
        <v>331.1</v>
      </c>
      <c r="I37" s="99">
        <f>SUM(I36:I36)</f>
        <v>374.1</v>
      </c>
      <c r="J37" s="171"/>
      <c r="K37" s="118"/>
      <c r="L37" s="119"/>
      <c r="M37" s="119"/>
      <c r="N37" s="167"/>
      <c r="O37" s="230"/>
      <c r="P37" s="230"/>
      <c r="Q37" s="230"/>
      <c r="R37" s="42">
        <f>(G37-F37)/F37</f>
        <v>-0.11561572052401746</v>
      </c>
    </row>
    <row r="38" spans="1:18" s="175" customFormat="1" ht="13.5" x14ac:dyDescent="0.2">
      <c r="A38" s="393" t="s">
        <v>0</v>
      </c>
      <c r="B38" s="394" t="s">
        <v>0</v>
      </c>
      <c r="C38" s="580" t="s">
        <v>28</v>
      </c>
      <c r="D38" s="580" t="s">
        <v>78</v>
      </c>
      <c r="E38" s="581" t="s">
        <v>756</v>
      </c>
      <c r="F38" s="582"/>
      <c r="G38" s="582"/>
      <c r="H38" s="582"/>
      <c r="I38" s="583"/>
      <c r="J38" s="138" t="s">
        <v>269</v>
      </c>
      <c r="K38" s="69" t="s">
        <v>755</v>
      </c>
      <c r="L38" s="67" t="s">
        <v>754</v>
      </c>
      <c r="M38" s="69" t="s">
        <v>12</v>
      </c>
      <c r="N38" s="173">
        <v>19</v>
      </c>
      <c r="O38" s="173">
        <v>20</v>
      </c>
      <c r="P38" s="173">
        <v>20</v>
      </c>
      <c r="Q38" s="173" t="s">
        <v>266</v>
      </c>
      <c r="R38" s="216"/>
    </row>
    <row r="39" spans="1:18" s="175" customFormat="1" x14ac:dyDescent="0.2">
      <c r="A39" s="393"/>
      <c r="B39" s="394"/>
      <c r="C39" s="580"/>
      <c r="D39" s="580"/>
      <c r="E39" s="138" t="s">
        <v>14</v>
      </c>
      <c r="F39" s="94">
        <v>144</v>
      </c>
      <c r="G39" s="94">
        <v>110</v>
      </c>
      <c r="H39" s="94">
        <f>ROUND(G39*Lapas1!$A$1,1)</f>
        <v>119.9</v>
      </c>
      <c r="I39" s="94">
        <f>ROUND(H39*Lapas1!$A$2,1)</f>
        <v>135.5</v>
      </c>
      <c r="J39" s="171"/>
      <c r="K39" s="118"/>
      <c r="L39" s="119"/>
      <c r="M39" s="119"/>
      <c r="N39" s="167"/>
      <c r="O39" s="167"/>
      <c r="P39" s="230"/>
      <c r="Q39" s="230"/>
      <c r="R39" s="216"/>
    </row>
    <row r="40" spans="1:18" s="175" customFormat="1" x14ac:dyDescent="0.2">
      <c r="A40" s="393"/>
      <c r="B40" s="394"/>
      <c r="C40" s="580"/>
      <c r="D40" s="580"/>
      <c r="E40" s="104" t="s">
        <v>22</v>
      </c>
      <c r="F40" s="99">
        <f>SUM(F39:F39)</f>
        <v>144</v>
      </c>
      <c r="G40" s="159">
        <f>SUM(G39:G39)</f>
        <v>110</v>
      </c>
      <c r="H40" s="99">
        <f>SUM(H39:H39)</f>
        <v>119.9</v>
      </c>
      <c r="I40" s="99">
        <f>SUM(I39:I39)</f>
        <v>135.5</v>
      </c>
      <c r="J40" s="171"/>
      <c r="K40" s="95"/>
      <c r="L40" s="96"/>
      <c r="M40" s="96"/>
      <c r="N40" s="167"/>
      <c r="O40" s="167"/>
      <c r="P40" s="230"/>
      <c r="Q40" s="230"/>
      <c r="R40" s="42">
        <f>(G40-F40)/F40</f>
        <v>-0.2361111111111111</v>
      </c>
    </row>
    <row r="41" spans="1:18" s="175" customFormat="1" x14ac:dyDescent="0.2">
      <c r="A41" s="131" t="s">
        <v>0</v>
      </c>
      <c r="B41" s="137" t="s">
        <v>0</v>
      </c>
      <c r="C41" s="229"/>
      <c r="D41" s="229" t="s">
        <v>18</v>
      </c>
      <c r="E41" s="106" t="s">
        <v>2</v>
      </c>
      <c r="F41" s="107">
        <f>F20+F23+F27+F31+F34+F37+F40</f>
        <v>4753.5</v>
      </c>
      <c r="G41" s="168">
        <f>G20+G23+G27+G31+G34+G37+G40</f>
        <v>4413.7860000000001</v>
      </c>
      <c r="H41" s="107">
        <f>H20+H23+H27+H31+H34+H37+H40</f>
        <v>4811</v>
      </c>
      <c r="I41" s="107">
        <f>I20+I23+I27+I31+I34+I37+I40</f>
        <v>5436.3</v>
      </c>
      <c r="J41" s="108"/>
      <c r="K41" s="207"/>
      <c r="L41" s="207"/>
      <c r="M41" s="207"/>
      <c r="N41" s="207"/>
      <c r="O41" s="207"/>
      <c r="P41" s="207"/>
      <c r="Q41" s="207"/>
      <c r="R41" s="216"/>
    </row>
    <row r="42" spans="1:18" s="175" customFormat="1" x14ac:dyDescent="0.2">
      <c r="A42" s="209" t="s">
        <v>0</v>
      </c>
      <c r="B42" s="112"/>
      <c r="C42" s="112"/>
      <c r="D42" s="112"/>
      <c r="E42" s="110" t="s">
        <v>239</v>
      </c>
      <c r="F42" s="111">
        <f t="shared" ref="F42:I43" si="0">F41</f>
        <v>4753.5</v>
      </c>
      <c r="G42" s="169">
        <f t="shared" si="0"/>
        <v>4413.7860000000001</v>
      </c>
      <c r="H42" s="111">
        <f t="shared" si="0"/>
        <v>4811</v>
      </c>
      <c r="I42" s="111">
        <f t="shared" si="0"/>
        <v>5436.3</v>
      </c>
      <c r="J42" s="112"/>
      <c r="K42" s="210"/>
      <c r="L42" s="210"/>
      <c r="M42" s="210"/>
      <c r="N42" s="210"/>
      <c r="O42" s="210"/>
      <c r="P42" s="210"/>
      <c r="Q42" s="210"/>
      <c r="R42" s="216"/>
    </row>
    <row r="43" spans="1:18" s="175" customFormat="1" x14ac:dyDescent="0.2">
      <c r="A43" s="165"/>
      <c r="B43" s="165"/>
      <c r="C43" s="165"/>
      <c r="D43" s="165"/>
      <c r="E43" s="121" t="s">
        <v>240</v>
      </c>
      <c r="F43" s="122">
        <f t="shared" si="0"/>
        <v>4753.5</v>
      </c>
      <c r="G43" s="170">
        <f t="shared" si="0"/>
        <v>4413.7860000000001</v>
      </c>
      <c r="H43" s="122">
        <f t="shared" si="0"/>
        <v>4811</v>
      </c>
      <c r="I43" s="122">
        <f t="shared" si="0"/>
        <v>5436.3</v>
      </c>
      <c r="J43" s="123"/>
      <c r="K43" s="166"/>
      <c r="L43" s="166"/>
      <c r="M43" s="166"/>
      <c r="N43" s="166"/>
      <c r="O43" s="166"/>
      <c r="P43" s="166"/>
      <c r="Q43" s="166"/>
      <c r="R43" s="216"/>
    </row>
    <row r="44" spans="1:18" ht="45.75" customHeight="1" x14ac:dyDescent="0.2">
      <c r="A44" s="462" t="s">
        <v>790</v>
      </c>
      <c r="B44" s="462"/>
      <c r="C44" s="462"/>
      <c r="D44" s="462"/>
      <c r="E44" s="462"/>
      <c r="F44" s="462"/>
      <c r="G44" s="462"/>
      <c r="H44" s="462"/>
      <c r="I44" s="462"/>
      <c r="J44" s="462"/>
      <c r="K44" s="462"/>
    </row>
    <row r="45" spans="1:18" ht="27.75" customHeight="1" x14ac:dyDescent="0.2">
      <c r="A45" s="416" t="s">
        <v>795</v>
      </c>
      <c r="B45" s="416"/>
      <c r="C45" s="416"/>
      <c r="D45" s="416"/>
      <c r="E45" s="416"/>
      <c r="F45" s="416"/>
      <c r="G45" s="416"/>
      <c r="H45" s="416"/>
      <c r="I45" s="416"/>
      <c r="J45" s="416"/>
      <c r="K45" s="416"/>
    </row>
    <row r="46" spans="1:18" x14ac:dyDescent="0.2">
      <c r="A46" s="124"/>
    </row>
    <row r="47" spans="1:18" ht="24.75" customHeight="1" x14ac:dyDescent="0.2">
      <c r="A47" s="403" t="s">
        <v>4</v>
      </c>
      <c r="B47" s="403"/>
      <c r="C47" s="403"/>
      <c r="D47" s="403"/>
      <c r="E47" s="403"/>
      <c r="F47" s="403"/>
      <c r="G47" s="403"/>
      <c r="H47" s="403"/>
      <c r="I47" s="403"/>
    </row>
    <row r="48" spans="1:18" ht="24.75" customHeight="1" x14ac:dyDescent="0.2">
      <c r="A48" s="402" t="s">
        <v>13</v>
      </c>
      <c r="B48" s="402"/>
      <c r="C48" s="402"/>
      <c r="D48" s="402"/>
      <c r="E48" s="7" t="s">
        <v>14</v>
      </c>
      <c r="F48" s="99">
        <f>F19+F22+F25+F29+F33+F39</f>
        <v>2010</v>
      </c>
      <c r="G48" s="159">
        <f>G19+G22+G25+G29+G33+G39</f>
        <v>1710</v>
      </c>
      <c r="H48" s="99">
        <f>H19+H22+H25+H29+H33+H39</f>
        <v>1863.8999999999999</v>
      </c>
      <c r="I48" s="99">
        <f>I19+I22+I25+I29+I33+I39</f>
        <v>2106.1999999999998</v>
      </c>
    </row>
    <row r="49" spans="1:9" ht="24.75" customHeight="1" x14ac:dyDescent="0.2">
      <c r="A49" s="402" t="s">
        <v>20</v>
      </c>
      <c r="B49" s="402"/>
      <c r="C49" s="402"/>
      <c r="D49" s="402"/>
      <c r="E49" s="7" t="s">
        <v>15</v>
      </c>
      <c r="F49" s="99">
        <f>F26+F30</f>
        <v>2400</v>
      </c>
      <c r="G49" s="159">
        <f>G26+G30</f>
        <v>2400</v>
      </c>
      <c r="H49" s="99">
        <f>H26+H30</f>
        <v>2616</v>
      </c>
      <c r="I49" s="99">
        <f>I26+I30</f>
        <v>2956</v>
      </c>
    </row>
    <row r="50" spans="1:9" ht="50.25" customHeight="1" x14ac:dyDescent="0.2">
      <c r="A50" s="402" t="s">
        <v>16</v>
      </c>
      <c r="B50" s="402"/>
      <c r="C50" s="402"/>
      <c r="D50" s="402"/>
      <c r="E50" s="7" t="s">
        <v>17</v>
      </c>
      <c r="F50" s="99">
        <f>F36</f>
        <v>343.5</v>
      </c>
      <c r="G50" s="159">
        <f>G36</f>
        <v>303.786</v>
      </c>
      <c r="H50" s="99">
        <f>H36</f>
        <v>331.1</v>
      </c>
      <c r="I50" s="99">
        <f>I36</f>
        <v>374.1</v>
      </c>
    </row>
    <row r="51" spans="1:9" ht="24.75" customHeight="1" x14ac:dyDescent="0.2">
      <c r="A51" s="402" t="s">
        <v>231</v>
      </c>
      <c r="B51" s="402"/>
      <c r="C51" s="402"/>
      <c r="D51" s="402"/>
      <c r="E51" s="7" t="s">
        <v>232</v>
      </c>
      <c r="F51" s="99"/>
      <c r="G51" s="159"/>
      <c r="H51" s="99"/>
      <c r="I51" s="99"/>
    </row>
    <row r="52" spans="1:9" ht="24.75" customHeight="1" x14ac:dyDescent="0.2">
      <c r="A52" s="402" t="s">
        <v>230</v>
      </c>
      <c r="B52" s="402"/>
      <c r="C52" s="402"/>
      <c r="D52" s="402"/>
      <c r="E52" s="7" t="s">
        <v>18</v>
      </c>
      <c r="F52" s="98"/>
      <c r="G52" s="337"/>
      <c r="H52" s="160"/>
      <c r="I52" s="160"/>
    </row>
    <row r="53" spans="1:9" x14ac:dyDescent="0.2">
      <c r="A53" s="402" t="s">
        <v>169</v>
      </c>
      <c r="B53" s="402"/>
      <c r="C53" s="402"/>
      <c r="D53" s="402"/>
      <c r="E53" s="7" t="s">
        <v>162</v>
      </c>
      <c r="F53" s="98"/>
      <c r="G53" s="337"/>
      <c r="H53" s="160"/>
      <c r="I53" s="160"/>
    </row>
    <row r="54" spans="1:9" ht="23.25" customHeight="1" x14ac:dyDescent="0.2">
      <c r="A54" s="414" t="s">
        <v>3</v>
      </c>
      <c r="B54" s="414"/>
      <c r="C54" s="414"/>
      <c r="D54" s="414"/>
      <c r="E54" s="414"/>
      <c r="F54" s="125">
        <f>SUM(F48:F53)</f>
        <v>4753.5</v>
      </c>
      <c r="G54" s="174">
        <f>SUM(G48:G53)</f>
        <v>4413.7860000000001</v>
      </c>
      <c r="H54" s="125">
        <f>SUM(H48:H53)</f>
        <v>4811</v>
      </c>
      <c r="I54" s="125">
        <f>SUM(I48:I53)</f>
        <v>5436.3</v>
      </c>
    </row>
    <row r="55" spans="1:9" x14ac:dyDescent="0.2">
      <c r="A55" s="413" t="s">
        <v>7</v>
      </c>
      <c r="B55" s="413"/>
      <c r="C55" s="413"/>
      <c r="D55" s="413"/>
      <c r="E55" s="413"/>
      <c r="F55" s="126"/>
      <c r="G55" s="158"/>
      <c r="H55" s="126"/>
      <c r="I55" s="126"/>
    </row>
    <row r="56" spans="1:9" x14ac:dyDescent="0.2">
      <c r="A56" s="413" t="s">
        <v>5</v>
      </c>
      <c r="B56" s="413"/>
      <c r="C56" s="413"/>
      <c r="D56" s="413"/>
      <c r="E56" s="413"/>
      <c r="F56" s="126">
        <f>F23+F31+F40</f>
        <v>1980</v>
      </c>
      <c r="G56" s="158">
        <f>G23+G31+G40</f>
        <v>1820</v>
      </c>
      <c r="H56" s="126">
        <f>H23+H31+H40</f>
        <v>1983.8000000000002</v>
      </c>
      <c r="I56" s="126">
        <f>I23+I31+I40</f>
        <v>2241.6999999999998</v>
      </c>
    </row>
    <row r="57" spans="1:9" x14ac:dyDescent="0.2">
      <c r="A57" s="413" t="s">
        <v>6</v>
      </c>
      <c r="B57" s="413"/>
      <c r="C57" s="413"/>
      <c r="D57" s="413"/>
      <c r="E57" s="413"/>
      <c r="F57" s="126">
        <f>F20+F27+F34+F37</f>
        <v>2773.5</v>
      </c>
      <c r="G57" s="158">
        <f>G20+G27+G34+G37</f>
        <v>2593.7860000000001</v>
      </c>
      <c r="H57" s="126">
        <f>H20+H27+H34+H37</f>
        <v>2827.2</v>
      </c>
      <c r="I57" s="126">
        <f>I20+I27+I34+I37</f>
        <v>3194.6</v>
      </c>
    </row>
    <row r="58" spans="1:9" x14ac:dyDescent="0.2">
      <c r="F58" s="127"/>
      <c r="G58" s="157"/>
      <c r="H58" s="87"/>
      <c r="I58" s="87"/>
    </row>
    <row r="59" spans="1:9" hidden="1" x14ac:dyDescent="0.2">
      <c r="E59" s="1" t="s">
        <v>23</v>
      </c>
      <c r="F59" s="128">
        <f>F54-F43</f>
        <v>0</v>
      </c>
      <c r="G59" s="156">
        <f>G54-G43</f>
        <v>0</v>
      </c>
      <c r="H59" s="128">
        <f>H54-H43</f>
        <v>0</v>
      </c>
      <c r="I59" s="128">
        <f>I54-I43</f>
        <v>0</v>
      </c>
    </row>
    <row r="60" spans="1:9" hidden="1" x14ac:dyDescent="0.2">
      <c r="F60" s="129">
        <f>F56+F57-F43</f>
        <v>0</v>
      </c>
      <c r="G60" s="155">
        <f>G56+G57-G43</f>
        <v>0</v>
      </c>
      <c r="H60" s="129">
        <f>H56+H57-H43</f>
        <v>0</v>
      </c>
      <c r="I60" s="129">
        <f>I56+I57-I43</f>
        <v>0</v>
      </c>
    </row>
  </sheetData>
  <mergeCells count="70">
    <mergeCell ref="Q15:Q17"/>
    <mergeCell ref="A48:D48"/>
    <mergeCell ref="C28:C31"/>
    <mergeCell ref="C32:C34"/>
    <mergeCell ref="C15:C17"/>
    <mergeCell ref="A35:A37"/>
    <mergeCell ref="A38:A40"/>
    <mergeCell ref="B18:B20"/>
    <mergeCell ref="B21:B23"/>
    <mergeCell ref="B24:B27"/>
    <mergeCell ref="B28:B31"/>
    <mergeCell ref="B32:B34"/>
    <mergeCell ref="B35:B37"/>
    <mergeCell ref="A15:A17"/>
    <mergeCell ref="A18:A20"/>
    <mergeCell ref="A21:A23"/>
    <mergeCell ref="A24:A27"/>
    <mergeCell ref="A28:A31"/>
    <mergeCell ref="A10:P10"/>
    <mergeCell ref="E11:E12"/>
    <mergeCell ref="F11:F12"/>
    <mergeCell ref="H11:H12"/>
    <mergeCell ref="G11:G12"/>
    <mergeCell ref="I11:I12"/>
    <mergeCell ref="J11:J12"/>
    <mergeCell ref="K11:K12"/>
    <mergeCell ref="L11:M11"/>
    <mergeCell ref="N11:P11"/>
    <mergeCell ref="A11:C11"/>
    <mergeCell ref="D11:D12"/>
    <mergeCell ref="R11:R12"/>
    <mergeCell ref="B15:B17"/>
    <mergeCell ref="J15:J17"/>
    <mergeCell ref="E21:I21"/>
    <mergeCell ref="E24:I24"/>
    <mergeCell ref="Q11:Q12"/>
    <mergeCell ref="E14:Q14"/>
    <mergeCell ref="E15:I17"/>
    <mergeCell ref="E18:I18"/>
    <mergeCell ref="D15:D17"/>
    <mergeCell ref="D18:D20"/>
    <mergeCell ref="D21:D23"/>
    <mergeCell ref="D24:D27"/>
    <mergeCell ref="C18:C20"/>
    <mergeCell ref="C21:C23"/>
    <mergeCell ref="C24:C27"/>
    <mergeCell ref="A57:E57"/>
    <mergeCell ref="E28:I28"/>
    <mergeCell ref="E32:I32"/>
    <mergeCell ref="C35:C37"/>
    <mergeCell ref="C38:C40"/>
    <mergeCell ref="D35:D37"/>
    <mergeCell ref="D38:D40"/>
    <mergeCell ref="B38:B40"/>
    <mergeCell ref="A32:A34"/>
    <mergeCell ref="A49:D49"/>
    <mergeCell ref="D28:D31"/>
    <mergeCell ref="D32:D34"/>
    <mergeCell ref="E35:I35"/>
    <mergeCell ref="E38:I38"/>
    <mergeCell ref="A50:D50"/>
    <mergeCell ref="A51:D51"/>
    <mergeCell ref="A44:K44"/>
    <mergeCell ref="A47:I47"/>
    <mergeCell ref="A54:E54"/>
    <mergeCell ref="A55:E55"/>
    <mergeCell ref="A56:E56"/>
    <mergeCell ref="A52:D52"/>
    <mergeCell ref="A53:D53"/>
    <mergeCell ref="A45:K45"/>
  </mergeCells>
  <pageMargins left="0.23622047244094491" right="0.23622047244094491" top="0.74803149606299213" bottom="0.74803149606299213" header="0.31496062992125984" footer="0.31496062992125984"/>
  <pageSetup paperSize="9" scale="59" fitToHeight="0" orientation="landscape" r:id="rId1"/>
  <rowBreaks count="1" manualBreakCount="1">
    <brk id="34" max="16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2.75" x14ac:dyDescent="0.2"/>
  <sheetData>
    <row r="1" spans="1:1" x14ac:dyDescent="0.2">
      <c r="A1">
        <v>1.0900000000000001</v>
      </c>
    </row>
    <row r="2" spans="1:1" x14ac:dyDescent="0.2">
      <c r="A2">
        <v>1.1299999999999999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9</vt:i4>
      </vt:variant>
      <vt:variant>
        <vt:lpstr>Įvardinti diapazonai</vt:lpstr>
      </vt:variant>
      <vt:variant>
        <vt:i4>8</vt:i4>
      </vt:variant>
    </vt:vector>
  </HeadingPairs>
  <TitlesOfParts>
    <vt:vector size="17" baseType="lpstr">
      <vt:lpstr>001</vt:lpstr>
      <vt:lpstr>002</vt:lpstr>
      <vt:lpstr>003</vt:lpstr>
      <vt:lpstr>004</vt:lpstr>
      <vt:lpstr>005</vt:lpstr>
      <vt:lpstr>006</vt:lpstr>
      <vt:lpstr>007</vt:lpstr>
      <vt:lpstr>008</vt:lpstr>
      <vt:lpstr>Lapas1</vt:lpstr>
      <vt:lpstr>'001'!Print_Area</vt:lpstr>
      <vt:lpstr>'002'!Print_Area</vt:lpstr>
      <vt:lpstr>'003'!Print_Area</vt:lpstr>
      <vt:lpstr>'004'!Print_Area</vt:lpstr>
      <vt:lpstr>'005'!Print_Area</vt:lpstr>
      <vt:lpstr>'006'!Print_Area</vt:lpstr>
      <vt:lpstr>'007'!Print_Area</vt:lpstr>
      <vt:lpstr>'008'!Print_Area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Zina Plaipaitė</dc:creator>
  <cp:lastModifiedBy>Zina Plaipaitė</cp:lastModifiedBy>
  <cp:lastPrinted>2026-01-22T12:18:30Z</cp:lastPrinted>
  <dcterms:created xsi:type="dcterms:W3CDTF">2022-01-19T08:54:22Z</dcterms:created>
  <dcterms:modified xsi:type="dcterms:W3CDTF">2026-01-22T12:18:35Z</dcterms:modified>
</cp:coreProperties>
</file>